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0" i="1" l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<sst xmlns="http://schemas.openxmlformats.org/spreadsheetml/2006/main" count="719" uniqueCount="177">
  <si>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</si>
  <si>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</si>
  <si>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</si>
  <si>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</si>
  <si>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</si>
  <si>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</si>
  <si>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</si>
  <si>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</si>
  <si>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</si>
  <si>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</si>
  <si>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</si>
  <si>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</si>
  <si>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</si>
  <si>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</si>
  <si>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</si>
  <si>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</si>
  <si>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</si>
  <si>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</si>
  <si>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</si>
  <si>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</si>
  <si>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</si>
  <si>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</si>
  <si>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</si>
  <si>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</si>
  <si>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</si>
  <si>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</si>
  <si>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</si>
  <si>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</si>
  <si>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</si>
  <si>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</si>
  <si>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</si>
  <si>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</si>
  <si>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</si>
  <si>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</si>
  <si>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Jaya Mahal</t>
  </si>
  <si>
    <t>Vasanth Nagara</t>
  </si>
  <si>
    <t>Shivaji Nagara</t>
  </si>
  <si>
    <t>East</t>
  </si>
  <si>
    <t>063-17-000040</t>
  </si>
  <si>
    <t>Comprehensive of Development of Roads and drains in Vasanthanagara Sub Division Package-1 (4 works)</t>
  </si>
  <si>
    <t>Roads &amp; Drivablility</t>
  </si>
  <si>
    <t>Sri. Lakshmi Narasimhaswamy Constructions</t>
  </si>
  <si>
    <t>P3158</t>
  </si>
  <si>
    <t>SIP Infrastructure Project works</t>
  </si>
  <si>
    <t>ddo088</t>
  </si>
  <si>
    <t xml:space="preserve"> Assistant Executive Engineer Vasanthanagar East Zone</t>
  </si>
  <si>
    <t>Spill Over</t>
  </si>
  <si>
    <t>063-14-000027</t>
  </si>
  <si>
    <t xml:space="preserve"> improvements and asphalting to Shivaji Road 7th Cross in ward no 63 </t>
  </si>
  <si>
    <t>KRIDL</t>
  </si>
  <si>
    <t>P2434</t>
  </si>
  <si>
    <t>Development works for Bangalore City</t>
  </si>
  <si>
    <t>Pending</t>
  </si>
  <si>
    <t>063-17-000043</t>
  </si>
  <si>
    <t>Development of Burial ground at Nandidurga road surroundings in ward no 63 Jayamahal</t>
  </si>
  <si>
    <t>Other Ward Works</t>
  </si>
  <si>
    <t>M/s.KRIDL</t>
  </si>
  <si>
    <t>P3111</t>
  </si>
  <si>
    <t>State Finance Commission Untied Grant Works</t>
  </si>
  <si>
    <t>ddo089</t>
  </si>
  <si>
    <t xml:space="preserve"> Assistant Executive Engineer Electrical East Zone</t>
  </si>
  <si>
    <t>June</t>
  </si>
  <si>
    <t>063-17-000039</t>
  </si>
  <si>
    <t>Sinking of borewell and other works at Jayamahal park in ward no 63</t>
  </si>
  <si>
    <t>Trees, Parks &amp; Playgrounds</t>
  </si>
  <si>
    <t>ddo075</t>
  </si>
  <si>
    <t xml:space="preserve"> Executive Engineer Project East Zone</t>
  </si>
  <si>
    <t>063-13-000169</t>
  </si>
  <si>
    <t>PROVIDING CEMENT CONCRETE TO ROAD AT D NO 1ST STREET ROAD CUT PORTION</t>
  </si>
  <si>
    <t>P1771</t>
  </si>
  <si>
    <t>Zone Works - POW Works</t>
  </si>
  <si>
    <t>July</t>
  </si>
  <si>
    <t>063-18-000004</t>
  </si>
  <si>
    <t>Providing LED Street lights to Broadway road and surrounding area in Jayamahal ward no 63</t>
  </si>
  <si>
    <t>Footpaths &amp; Walkability</t>
  </si>
  <si>
    <t>P3290</t>
  </si>
  <si>
    <t>14th Finance Commission Works - Providing Street Lights and Maintenance</t>
  </si>
  <si>
    <t>Current</t>
  </si>
  <si>
    <t>063-18-000006</t>
  </si>
  <si>
    <t>Providing LED Street lights to Thimaiah road and surrounding area in Jayamahal ward no 63</t>
  </si>
  <si>
    <t>063-18-000007</t>
  </si>
  <si>
    <t>Providing LED Street lights to Sulthanjigunta road and surrounding area in Jayamahal ward no 63</t>
  </si>
  <si>
    <t>063-18-000005</t>
  </si>
  <si>
    <t>Providing LED Street lights to Cockburn road and surrounding area in Jayamahal ward no 63</t>
  </si>
  <si>
    <t>063-18-000008</t>
  </si>
  <si>
    <t>Providing LED Street lights to Slaughter house road and surrounding area in Jayamahal ward no 63</t>
  </si>
  <si>
    <t>063-16-000001</t>
  </si>
  <si>
    <t>Operation and Maintenance of street lights at Jayamahal area ward nos 63 Package E11 for one year.</t>
  </si>
  <si>
    <t>M/s Kiran Electrical Enterprises</t>
  </si>
  <si>
    <t>P0300</t>
  </si>
  <si>
    <t>M and R to Street Lights - Replacement of Burnt Bulbs etc. (Package)</t>
  </si>
  <si>
    <t>063-13-000035</t>
  </si>
  <si>
    <t>Improvements to footpath and drain at Nandidurga Extn, 7th Cross, in Ward No.63</t>
  </si>
  <si>
    <t xml:space="preserve">KRIDL </t>
  </si>
  <si>
    <t>P2833</t>
  </si>
  <si>
    <t>Asphalting to roads and development of footpaths Benson Town and Jayamahal surrounding areas in W.No 63</t>
  </si>
  <si>
    <t>063-13-000038</t>
  </si>
  <si>
    <t>Improvements to footpath and drain at Nandidurga Extn, 1st 4th Cross and surroundings, in Ward No.63</t>
  </si>
  <si>
    <t>063-13-000037</t>
  </si>
  <si>
    <t>Improvements to footpath and drain at Nandidurga Extn, 5th Cross, in Ward No.63</t>
  </si>
  <si>
    <t>063-18-000037</t>
  </si>
  <si>
    <t>Providing Pure drinking water unit near Xaviers school ward No 63</t>
  </si>
  <si>
    <t>Drinking Water</t>
  </si>
  <si>
    <t>T. Nataraj</t>
  </si>
  <si>
    <t>August</t>
  </si>
  <si>
    <t>063-17-000033</t>
  </si>
  <si>
    <t>Desilting of drains in S.N.Lane (old cemetry cross road) in ward no 63</t>
  </si>
  <si>
    <t xml:space="preserve">M/s KRIDL </t>
  </si>
  <si>
    <t>063-13-000126</t>
  </si>
  <si>
    <t>Construction of Hospital building at ward no 63</t>
  </si>
  <si>
    <t>M/s M.R.CONSTRUCTIONS</t>
  </si>
  <si>
    <t>P2413</t>
  </si>
  <si>
    <t>Construction of Hospital Building at Ward No. 63 (Est. Cost. Rs. 3 Cr.)</t>
  </si>
  <si>
    <t>063-13-000171</t>
  </si>
  <si>
    <t>PROVIDING CEMENT CONCRETE TO ROAD AT MILLAR ROAD SERVICE ROAD</t>
  </si>
  <si>
    <t>063-13-000003</t>
  </si>
  <si>
    <t>PROVIDING CEMENT CONCRETE ROAD NEAR ANJANEYA TEMPLE (ADJACENT TO NANDIDURGA ROAD) IN WARD NO 63</t>
  </si>
  <si>
    <t>063-13-000004</t>
  </si>
  <si>
    <t>CEMENT CONCRETE TO BENSON ROAD AND CROSSES IN WARD NO 63</t>
  </si>
  <si>
    <t>063-13-000170</t>
  </si>
  <si>
    <t>PROVIDING CEMENT CONCRETE TO ROAD AT SHIVAJI NAGAR 1ST CROSS AND SURROUNDINGS</t>
  </si>
  <si>
    <t>063-17-000025</t>
  </si>
  <si>
    <t>Desilting of drains in benson road and cross road in benson town in ward no 63</t>
  </si>
  <si>
    <t>063-17-000026</t>
  </si>
  <si>
    <t>Providing CC road in Venkatappa road and surrounding in ward no 63</t>
  </si>
  <si>
    <t>063-17-000006</t>
  </si>
  <si>
    <t>Filling of Pot Holes in Ward No 63</t>
  </si>
  <si>
    <t>M.V. Suresh Kumar</t>
  </si>
  <si>
    <t>October</t>
  </si>
  <si>
    <t>063-17-000024</t>
  </si>
  <si>
    <t>Desilting of drains in Thimmaiah road (From Kamal pasha darga to bomboo bazar road in ward no 63</t>
  </si>
  <si>
    <t>063-17-000023</t>
  </si>
  <si>
    <t>Desilting of drains and improvements to footpath colonel road in ward no 63</t>
  </si>
  <si>
    <t>November</t>
  </si>
  <si>
    <t>063-18-000027</t>
  </si>
  <si>
    <t>Providing and construction of CC road in B-W in corporation and police qtrs near by Rajiv Gandhi colony in ward no 63</t>
  </si>
  <si>
    <t>P3296</t>
  </si>
  <si>
    <t>14th Finance Commission Works - Road and Footpath Maintenance</t>
  </si>
  <si>
    <t>January</t>
  </si>
  <si>
    <t>Sapience Consultants &amp; Engineers</t>
  </si>
  <si>
    <t>063-18-000040</t>
  </si>
  <si>
    <t xml:space="preserve">Providing ornamental grill gate benches and beautification Work to Indira Canteen in Ward No. 63 Jaymahal </t>
  </si>
  <si>
    <t>Indira Canteen</t>
  </si>
  <si>
    <t>P3106</t>
  </si>
  <si>
    <t>Nagarothana Works</t>
  </si>
  <si>
    <t>063-18-000002</t>
  </si>
  <si>
    <t>Providing and construction of CC Roads near NKP Choultry and surrounding area in ward no 63.</t>
  </si>
  <si>
    <t>M/s KRIDL Bangalore</t>
  </si>
  <si>
    <t>063-18-000003</t>
  </si>
  <si>
    <t>Providing and construction of CC Roads near Old cemetery road and surrounding area in ward no 63.</t>
  </si>
  <si>
    <t>063-18-000001</t>
  </si>
  <si>
    <t>Providing and construction of CC Roads and drains at curve road and surrounding area in ward no 63.</t>
  </si>
  <si>
    <t>March</t>
  </si>
  <si>
    <t>063-17-000004</t>
  </si>
  <si>
    <t>Development of Jayamahal and Surrounding Area parks at ward no 63</t>
  </si>
  <si>
    <t>P0190</t>
  </si>
  <si>
    <t>Works sanctioned by Hon Mayor</t>
  </si>
  <si>
    <t>063-18-000026</t>
  </si>
  <si>
    <t>Improvements to drain and footpath at Broadway road near BBMP Heart Hospital in ward no 63</t>
  </si>
  <si>
    <t>063-18-000029</t>
  </si>
  <si>
    <t>Improvements to drain and footpath at 4th main road from 3rd main road to 1st main road in ward no 63</t>
  </si>
  <si>
    <t>063-18-000028</t>
  </si>
  <si>
    <t>Providing and Construction of Cement concrete to Millers service road in ward no 63</t>
  </si>
  <si>
    <t>063-18-000025</t>
  </si>
  <si>
    <t xml:space="preserve">Improvements to Footpath and drain at 1st cross road near Paalana Bhavana Nandhi durga extn Jayamahal in ward no 63 </t>
  </si>
  <si>
    <t>KRIDl</t>
  </si>
  <si>
    <t>063-18-000041</t>
  </si>
  <si>
    <t>Providing chain link fencing behind Xaviser school in ward no 63</t>
  </si>
  <si>
    <t>063-18-000038</t>
  </si>
  <si>
    <t>Repairs to BBMP division office in ward no 63</t>
  </si>
  <si>
    <t>P3291</t>
  </si>
  <si>
    <t>14th Fin  -Maintenance of Cremotorium, Burial Grounds</t>
  </si>
  <si>
    <t>063-18-000039</t>
  </si>
  <si>
    <t>Providing water prooling to the BBMP divisioin office in ward no 63</t>
  </si>
  <si>
    <t>Water &amp; Sanitary</t>
  </si>
  <si>
    <t>P3292</t>
  </si>
  <si>
    <t>14th Finance Commission Works - Community Property Maintenance (including Parks)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</si>
</sst>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workbookViewId="0">
      <pane ySplit="1" topLeftCell="A2" activePane="bottomLeft" state="frozen"/>
      <selection activeCell="H1" sqref="H1"/>
      <selection pane="bottomLeft" activeCell="A2" sqref="A2:XFD5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249</v>
      </c>
      <c r="B2" s="9" t="s">
        <v>33</v>
      </c>
      <c r="C2" s="10">
        <v>43196</v>
      </c>
      <c r="D2" s="11">
        <v>63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"000219"</f>
        <v>000219</v>
      </c>
      <c r="M2" s="10">
        <v>43160</v>
      </c>
      <c r="N2" s="11" t="str">
        <f>"000010"</f>
        <v>000010</v>
      </c>
      <c r="O2" s="10">
        <v>43274</v>
      </c>
      <c r="P2" s="11" t="str">
        <f>"000034"</f>
        <v>000034</v>
      </c>
      <c r="Q2" s="10">
        <v>43276</v>
      </c>
      <c r="R2" s="11">
        <v>17</v>
      </c>
      <c r="S2" s="11" t="str">
        <f>""</f>
        <v/>
      </c>
      <c r="T2" s="10"/>
      <c r="U2" s="14">
        <v>235.81819999999999</v>
      </c>
      <c r="V2" s="14">
        <v>7.3113999999999999</v>
      </c>
      <c r="W2" s="14">
        <v>228.5068</v>
      </c>
      <c r="X2" s="11">
        <v>7</v>
      </c>
      <c r="Y2" s="10">
        <v>43196</v>
      </c>
      <c r="Z2" s="11">
        <v>9856598956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2.3581819999999998</v>
      </c>
      <c r="AG2" s="11" t="s">
        <v>46</v>
      </c>
    </row>
    <row r="3" spans="1:33" x14ac:dyDescent="0.2">
      <c r="A3" s="8">
        <v>250</v>
      </c>
      <c r="B3" s="9" t="s">
        <v>33</v>
      </c>
      <c r="C3" s="10">
        <v>43196</v>
      </c>
      <c r="D3" s="11">
        <v>63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38</v>
      </c>
      <c r="J3" s="12" t="s">
        <v>39</v>
      </c>
      <c r="K3" s="13" t="s">
        <v>40</v>
      </c>
      <c r="L3" s="11" t="str">
        <f>"000219"</f>
        <v>000219</v>
      </c>
      <c r="M3" s="10">
        <v>43160</v>
      </c>
      <c r="N3" s="11" t="str">
        <f>"000010"</f>
        <v>000010</v>
      </c>
      <c r="O3" s="10">
        <v>43274</v>
      </c>
      <c r="P3" s="11" t="str">
        <f>"000034"</f>
        <v>000034</v>
      </c>
      <c r="Q3" s="10">
        <v>43276</v>
      </c>
      <c r="R3" s="11">
        <v>17</v>
      </c>
      <c r="S3" s="11" t="str">
        <f>""</f>
        <v/>
      </c>
      <c r="T3" s="10"/>
      <c r="U3" s="14">
        <v>59.719369999999998</v>
      </c>
      <c r="V3" s="14">
        <v>1.8512999999999999</v>
      </c>
      <c r="W3" s="14">
        <v>57.868070000000003</v>
      </c>
      <c r="X3" s="11">
        <v>7</v>
      </c>
      <c r="Y3" s="10">
        <v>43196</v>
      </c>
      <c r="Z3" s="11">
        <v>9856598956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0.59719369999999994</v>
      </c>
      <c r="AG3" s="11" t="s">
        <v>46</v>
      </c>
    </row>
    <row r="4" spans="1:33" x14ac:dyDescent="0.2">
      <c r="A4" s="8">
        <v>251</v>
      </c>
      <c r="B4" s="9" t="s">
        <v>33</v>
      </c>
      <c r="C4" s="10">
        <v>43196</v>
      </c>
      <c r="D4" s="11">
        <v>63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38</v>
      </c>
      <c r="J4" s="12" t="s">
        <v>39</v>
      </c>
      <c r="K4" s="13" t="s">
        <v>40</v>
      </c>
      <c r="L4" s="11" t="str">
        <f>"000219"</f>
        <v>000219</v>
      </c>
      <c r="M4" s="10">
        <v>43160</v>
      </c>
      <c r="N4" s="11" t="str">
        <f>"000010"</f>
        <v>000010</v>
      </c>
      <c r="O4" s="10">
        <v>43274</v>
      </c>
      <c r="P4" s="11" t="str">
        <f>"000034"</f>
        <v>000034</v>
      </c>
      <c r="Q4" s="10">
        <v>43276</v>
      </c>
      <c r="R4" s="11">
        <v>17</v>
      </c>
      <c r="S4" s="11" t="str">
        <f>""</f>
        <v/>
      </c>
      <c r="T4" s="10"/>
      <c r="U4" s="14">
        <v>287.74259999999998</v>
      </c>
      <c r="V4" s="14">
        <v>8.9450000000000003</v>
      </c>
      <c r="W4" s="14">
        <v>278.79759999999999</v>
      </c>
      <c r="X4" s="11">
        <v>7</v>
      </c>
      <c r="Y4" s="10">
        <v>43196</v>
      </c>
      <c r="Z4" s="11">
        <v>9856598956</v>
      </c>
      <c r="AA4" s="12" t="s">
        <v>41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2.8774259999999998</v>
      </c>
      <c r="AG4" s="11" t="s">
        <v>46</v>
      </c>
    </row>
    <row r="5" spans="1:33" x14ac:dyDescent="0.2">
      <c r="A5" s="8">
        <v>377</v>
      </c>
      <c r="B5" s="9" t="s">
        <v>33</v>
      </c>
      <c r="C5" s="10">
        <v>43200</v>
      </c>
      <c r="D5" s="11">
        <v>63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47</v>
      </c>
      <c r="J5" s="12" t="s">
        <v>48</v>
      </c>
      <c r="K5" s="13" t="s">
        <v>40</v>
      </c>
      <c r="L5" s="11" t="str">
        <f>"000192"</f>
        <v>000192</v>
      </c>
      <c r="M5" s="10">
        <v>42044</v>
      </c>
      <c r="N5" s="11" t="str">
        <f>"000035"</f>
        <v>000035</v>
      </c>
      <c r="O5" s="10">
        <v>42360</v>
      </c>
      <c r="P5" s="11" t="str">
        <f>"000089"</f>
        <v>000089</v>
      </c>
      <c r="Q5" s="10">
        <v>42563</v>
      </c>
      <c r="R5" s="11">
        <v>14</v>
      </c>
      <c r="S5" s="11" t="str">
        <f>"000199"</f>
        <v>000199</v>
      </c>
      <c r="T5" s="10">
        <v>43194</v>
      </c>
      <c r="U5" s="14">
        <v>62.103830000000002</v>
      </c>
      <c r="V5" s="14">
        <v>8.5612499999999994</v>
      </c>
      <c r="W5" s="14">
        <v>53.542580000000001</v>
      </c>
      <c r="X5" s="11">
        <v>9</v>
      </c>
      <c r="Y5" s="10">
        <v>43200</v>
      </c>
      <c r="Z5" s="11">
        <v>9856598569</v>
      </c>
      <c r="AA5" s="12" t="s">
        <v>49</v>
      </c>
      <c r="AB5" s="11" t="s">
        <v>50</v>
      </c>
      <c r="AC5" s="12" t="s">
        <v>51</v>
      </c>
      <c r="AD5" s="11" t="s">
        <v>44</v>
      </c>
      <c r="AE5" s="12" t="s">
        <v>45</v>
      </c>
      <c r="AF5" s="14">
        <v>0.62103830000000004</v>
      </c>
      <c r="AG5" s="11" t="s">
        <v>52</v>
      </c>
    </row>
    <row r="6" spans="1:33" x14ac:dyDescent="0.2">
      <c r="A6" s="8">
        <v>712</v>
      </c>
      <c r="B6" s="9" t="s">
        <v>33</v>
      </c>
      <c r="C6" s="10">
        <v>43216</v>
      </c>
      <c r="D6" s="11">
        <v>63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53</v>
      </c>
      <c r="J6" s="12" t="s">
        <v>54</v>
      </c>
      <c r="K6" s="13" t="s">
        <v>55</v>
      </c>
      <c r="L6" s="11" t="str">
        <f>"000147"</f>
        <v>000147</v>
      </c>
      <c r="M6" s="10">
        <v>43185</v>
      </c>
      <c r="N6" s="11" t="str">
        <f>"000222"</f>
        <v>000222</v>
      </c>
      <c r="O6" s="10">
        <v>43187</v>
      </c>
      <c r="P6" s="11" t="str">
        <f>"000211"</f>
        <v>000211</v>
      </c>
      <c r="Q6" s="10">
        <v>43187</v>
      </c>
      <c r="R6" s="11">
        <v>17</v>
      </c>
      <c r="S6" s="11" t="str">
        <f>"000662"</f>
        <v>000662</v>
      </c>
      <c r="T6" s="10">
        <v>43214</v>
      </c>
      <c r="U6" s="14">
        <v>99.970230000000001</v>
      </c>
      <c r="V6" s="14">
        <v>10.597200000000001</v>
      </c>
      <c r="W6" s="14">
        <v>89.37303</v>
      </c>
      <c r="X6" s="11">
        <v>27</v>
      </c>
      <c r="Y6" s="10">
        <v>43216</v>
      </c>
      <c r="Z6" s="11">
        <v>9945525730</v>
      </c>
      <c r="AA6" s="12" t="s">
        <v>56</v>
      </c>
      <c r="AB6" s="11" t="s">
        <v>57</v>
      </c>
      <c r="AC6" s="12" t="s">
        <v>58</v>
      </c>
      <c r="AD6" s="11" t="s">
        <v>59</v>
      </c>
      <c r="AE6" s="12" t="s">
        <v>60</v>
      </c>
      <c r="AF6" s="14">
        <v>0.99970230000000004</v>
      </c>
      <c r="AG6" s="11" t="s">
        <v>52</v>
      </c>
    </row>
    <row r="7" spans="1:33" x14ac:dyDescent="0.2">
      <c r="A7" s="8">
        <v>2172</v>
      </c>
      <c r="B7" s="9" t="s">
        <v>61</v>
      </c>
      <c r="C7" s="10">
        <v>43266</v>
      </c>
      <c r="D7" s="11">
        <v>63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62</v>
      </c>
      <c r="J7" s="12" t="s">
        <v>63</v>
      </c>
      <c r="K7" s="13" t="s">
        <v>64</v>
      </c>
      <c r="L7" s="11" t="str">
        <f>"000001"</f>
        <v>000001</v>
      </c>
      <c r="M7" s="10">
        <v>42845</v>
      </c>
      <c r="N7" s="11" t="str">
        <f>"000033"</f>
        <v>000033</v>
      </c>
      <c r="O7" s="10">
        <v>43190</v>
      </c>
      <c r="P7" s="11" t="str">
        <f>"000011"</f>
        <v>000011</v>
      </c>
      <c r="Q7" s="10">
        <v>43242</v>
      </c>
      <c r="R7" s="11">
        <v>17</v>
      </c>
      <c r="S7" s="11" t="str">
        <f>"002594"</f>
        <v>002594</v>
      </c>
      <c r="T7" s="10">
        <v>43265</v>
      </c>
      <c r="U7" s="14">
        <v>7.4573799999999997</v>
      </c>
      <c r="V7" s="14">
        <v>0.70435000000000003</v>
      </c>
      <c r="W7" s="14">
        <v>6.7530299999999999</v>
      </c>
      <c r="X7" s="11">
        <v>86</v>
      </c>
      <c r="Y7" s="10">
        <v>43266</v>
      </c>
      <c r="Z7" s="11">
        <v>8022975815</v>
      </c>
      <c r="AA7" s="12" t="s">
        <v>49</v>
      </c>
      <c r="AB7" s="11" t="s">
        <v>57</v>
      </c>
      <c r="AC7" s="12" t="s">
        <v>58</v>
      </c>
      <c r="AD7" s="11" t="s">
        <v>65</v>
      </c>
      <c r="AE7" s="12" t="s">
        <v>66</v>
      </c>
      <c r="AF7" s="14">
        <v>7.4573799999999996E-2</v>
      </c>
      <c r="AG7" s="11" t="s">
        <v>46</v>
      </c>
    </row>
    <row r="8" spans="1:33" x14ac:dyDescent="0.2">
      <c r="A8" s="8">
        <v>2267</v>
      </c>
      <c r="B8" s="9" t="s">
        <v>61</v>
      </c>
      <c r="C8" s="10">
        <v>43269</v>
      </c>
      <c r="D8" s="11">
        <v>63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67</v>
      </c>
      <c r="J8" s="12" t="s">
        <v>68</v>
      </c>
      <c r="K8" s="13" t="s">
        <v>40</v>
      </c>
      <c r="L8" s="11" t="str">
        <f>"000212"</f>
        <v>000212</v>
      </c>
      <c r="M8" s="10">
        <v>41550</v>
      </c>
      <c r="N8" s="11" t="str">
        <f>"000071"</f>
        <v>000071</v>
      </c>
      <c r="O8" s="10">
        <v>41831</v>
      </c>
      <c r="P8" s="11" t="str">
        <f>"000202"</f>
        <v>000202</v>
      </c>
      <c r="Q8" s="10">
        <v>41851</v>
      </c>
      <c r="R8" s="11">
        <v>13</v>
      </c>
      <c r="S8" s="11" t="str">
        <f>"002538"</f>
        <v>002538</v>
      </c>
      <c r="T8" s="10">
        <v>43264</v>
      </c>
      <c r="U8" s="14">
        <v>2.4992299999999998</v>
      </c>
      <c r="V8" s="14">
        <v>0.36098999999999998</v>
      </c>
      <c r="W8" s="14">
        <v>2.1382400000000001</v>
      </c>
      <c r="X8" s="11">
        <v>88</v>
      </c>
      <c r="Y8" s="10">
        <v>43269</v>
      </c>
      <c r="Z8" s="11">
        <v>9856598569</v>
      </c>
      <c r="AA8" s="12" t="s">
        <v>49</v>
      </c>
      <c r="AB8" s="11" t="s">
        <v>69</v>
      </c>
      <c r="AC8" s="12" t="s">
        <v>70</v>
      </c>
      <c r="AD8" s="11" t="s">
        <v>44</v>
      </c>
      <c r="AE8" s="12" t="s">
        <v>45</v>
      </c>
      <c r="AF8" s="14">
        <v>2.4992299999999999E-2</v>
      </c>
      <c r="AG8" s="11" t="s">
        <v>52</v>
      </c>
    </row>
    <row r="9" spans="1:33" x14ac:dyDescent="0.2">
      <c r="A9" s="8">
        <v>3001</v>
      </c>
      <c r="B9" s="9" t="s">
        <v>71</v>
      </c>
      <c r="C9" s="10">
        <v>43285</v>
      </c>
      <c r="D9" s="11">
        <v>63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72</v>
      </c>
      <c r="J9" s="12" t="s">
        <v>73</v>
      </c>
      <c r="K9" s="13" t="s">
        <v>74</v>
      </c>
      <c r="L9" s="11" t="str">
        <f>"000035"</f>
        <v>000035</v>
      </c>
      <c r="M9" s="10">
        <v>43249</v>
      </c>
      <c r="N9" s="11" t="str">
        <f>"000057"</f>
        <v>000057</v>
      </c>
      <c r="O9" s="10">
        <v>43258</v>
      </c>
      <c r="P9" s="11" t="str">
        <f>"000053"</f>
        <v>000053</v>
      </c>
      <c r="Q9" s="10">
        <v>43259</v>
      </c>
      <c r="R9" s="11">
        <v>18</v>
      </c>
      <c r="S9" s="11" t="str">
        <f>"003279"</f>
        <v>003279</v>
      </c>
      <c r="T9" s="10">
        <v>43284</v>
      </c>
      <c r="U9" s="14">
        <v>24.949069999999999</v>
      </c>
      <c r="V9" s="14">
        <v>3.1671999999999998</v>
      </c>
      <c r="W9" s="14">
        <v>21.781870000000001</v>
      </c>
      <c r="X9" s="11">
        <v>111</v>
      </c>
      <c r="Y9" s="10">
        <v>43285</v>
      </c>
      <c r="Z9" s="11">
        <v>9945525730</v>
      </c>
      <c r="AA9" s="12" t="s">
        <v>56</v>
      </c>
      <c r="AB9" s="11" t="s">
        <v>75</v>
      </c>
      <c r="AC9" s="12" t="s">
        <v>76</v>
      </c>
      <c r="AD9" s="11" t="s">
        <v>59</v>
      </c>
      <c r="AE9" s="12" t="s">
        <v>60</v>
      </c>
      <c r="AF9" s="14">
        <v>0.24949069999999998</v>
      </c>
      <c r="AG9" s="11" t="s">
        <v>77</v>
      </c>
    </row>
    <row r="10" spans="1:33" x14ac:dyDescent="0.2">
      <c r="A10" s="8">
        <v>3002</v>
      </c>
      <c r="B10" s="9" t="s">
        <v>71</v>
      </c>
      <c r="C10" s="10">
        <v>43285</v>
      </c>
      <c r="D10" s="11">
        <v>63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78</v>
      </c>
      <c r="J10" s="12" t="s">
        <v>79</v>
      </c>
      <c r="K10" s="13" t="s">
        <v>74</v>
      </c>
      <c r="L10" s="11" t="str">
        <f>"000172"</f>
        <v>000172</v>
      </c>
      <c r="M10" s="10">
        <v>43249</v>
      </c>
      <c r="N10" s="11" t="str">
        <f>"000054"</f>
        <v>000054</v>
      </c>
      <c r="O10" s="10">
        <v>43258</v>
      </c>
      <c r="P10" s="11" t="str">
        <f>"000055"</f>
        <v>000055</v>
      </c>
      <c r="Q10" s="10">
        <v>43259</v>
      </c>
      <c r="R10" s="11">
        <v>18</v>
      </c>
      <c r="S10" s="11" t="str">
        <f>"003280"</f>
        <v>003280</v>
      </c>
      <c r="T10" s="10">
        <v>43284</v>
      </c>
      <c r="U10" s="14">
        <v>24.919329999999999</v>
      </c>
      <c r="V10" s="14">
        <v>3.1627000000000001</v>
      </c>
      <c r="W10" s="14">
        <v>21.756630000000001</v>
      </c>
      <c r="X10" s="11">
        <v>111</v>
      </c>
      <c r="Y10" s="10">
        <v>43285</v>
      </c>
      <c r="Z10" s="11">
        <v>9945525730</v>
      </c>
      <c r="AA10" s="12" t="s">
        <v>56</v>
      </c>
      <c r="AB10" s="11" t="s">
        <v>75</v>
      </c>
      <c r="AC10" s="12" t="s">
        <v>76</v>
      </c>
      <c r="AD10" s="11" t="s">
        <v>59</v>
      </c>
      <c r="AE10" s="12" t="s">
        <v>60</v>
      </c>
      <c r="AF10" s="14">
        <v>0.24919329999999998</v>
      </c>
      <c r="AG10" s="11" t="s">
        <v>77</v>
      </c>
    </row>
    <row r="11" spans="1:33" x14ac:dyDescent="0.2">
      <c r="A11" s="8">
        <v>3003</v>
      </c>
      <c r="B11" s="9" t="s">
        <v>71</v>
      </c>
      <c r="C11" s="10">
        <v>43285</v>
      </c>
      <c r="D11" s="11">
        <v>63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80</v>
      </c>
      <c r="J11" s="12" t="s">
        <v>81</v>
      </c>
      <c r="K11" s="13" t="s">
        <v>74</v>
      </c>
      <c r="L11" s="11" t="str">
        <f>"000173"</f>
        <v>000173</v>
      </c>
      <c r="M11" s="10">
        <v>43249</v>
      </c>
      <c r="N11" s="11" t="str">
        <f>"000053"</f>
        <v>000053</v>
      </c>
      <c r="O11" s="10">
        <v>43258</v>
      </c>
      <c r="P11" s="11" t="str">
        <f>"000056"</f>
        <v>000056</v>
      </c>
      <c r="Q11" s="10">
        <v>43259</v>
      </c>
      <c r="R11" s="11">
        <v>18</v>
      </c>
      <c r="S11" s="11" t="str">
        <f>"003281"</f>
        <v>003281</v>
      </c>
      <c r="T11" s="10">
        <v>43284</v>
      </c>
      <c r="U11" s="14">
        <v>24.939150000000001</v>
      </c>
      <c r="V11" s="14">
        <v>3.1690999999999998</v>
      </c>
      <c r="W11" s="14">
        <v>21.770050000000001</v>
      </c>
      <c r="X11" s="11">
        <v>111</v>
      </c>
      <c r="Y11" s="10">
        <v>43285</v>
      </c>
      <c r="Z11" s="11">
        <v>9945525730</v>
      </c>
      <c r="AA11" s="12" t="s">
        <v>56</v>
      </c>
      <c r="AB11" s="11" t="s">
        <v>75</v>
      </c>
      <c r="AC11" s="12" t="s">
        <v>76</v>
      </c>
      <c r="AD11" s="11" t="s">
        <v>59</v>
      </c>
      <c r="AE11" s="12" t="s">
        <v>60</v>
      </c>
      <c r="AF11" s="14">
        <v>0.24939150000000002</v>
      </c>
      <c r="AG11" s="11" t="s">
        <v>77</v>
      </c>
    </row>
    <row r="12" spans="1:33" x14ac:dyDescent="0.2">
      <c r="A12" s="8">
        <v>3004</v>
      </c>
      <c r="B12" s="9" t="s">
        <v>71</v>
      </c>
      <c r="C12" s="10">
        <v>43285</v>
      </c>
      <c r="D12" s="11">
        <v>63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82</v>
      </c>
      <c r="J12" s="12" t="s">
        <v>83</v>
      </c>
      <c r="K12" s="13" t="s">
        <v>74</v>
      </c>
      <c r="L12" s="11" t="str">
        <f>"000036"</f>
        <v>000036</v>
      </c>
      <c r="M12" s="10">
        <v>43249</v>
      </c>
      <c r="N12" s="11" t="str">
        <f>"000056"</f>
        <v>000056</v>
      </c>
      <c r="O12" s="10">
        <v>43258</v>
      </c>
      <c r="P12" s="11" t="str">
        <f>"000054"</f>
        <v>000054</v>
      </c>
      <c r="Q12" s="10">
        <v>43259</v>
      </c>
      <c r="R12" s="11">
        <v>18</v>
      </c>
      <c r="S12" s="11" t="str">
        <f>"003282"</f>
        <v>003282</v>
      </c>
      <c r="T12" s="10">
        <v>43284</v>
      </c>
      <c r="U12" s="14">
        <v>24.988710000000001</v>
      </c>
      <c r="V12" s="14">
        <v>3.1760799999999998</v>
      </c>
      <c r="W12" s="14">
        <v>21.812629999999999</v>
      </c>
      <c r="X12" s="11">
        <v>111</v>
      </c>
      <c r="Y12" s="10">
        <v>43285</v>
      </c>
      <c r="Z12" s="11">
        <v>9945525730</v>
      </c>
      <c r="AA12" s="12" t="s">
        <v>56</v>
      </c>
      <c r="AB12" s="11" t="s">
        <v>75</v>
      </c>
      <c r="AC12" s="12" t="s">
        <v>76</v>
      </c>
      <c r="AD12" s="11" t="s">
        <v>59</v>
      </c>
      <c r="AE12" s="12" t="s">
        <v>60</v>
      </c>
      <c r="AF12" s="14">
        <v>0.2498871</v>
      </c>
      <c r="AG12" s="11" t="s">
        <v>77</v>
      </c>
    </row>
    <row r="13" spans="1:33" x14ac:dyDescent="0.2">
      <c r="A13" s="8">
        <v>3005</v>
      </c>
      <c r="B13" s="9" t="s">
        <v>71</v>
      </c>
      <c r="C13" s="10">
        <v>43285</v>
      </c>
      <c r="D13" s="11">
        <v>63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84</v>
      </c>
      <c r="J13" s="12" t="s">
        <v>85</v>
      </c>
      <c r="K13" s="13" t="s">
        <v>74</v>
      </c>
      <c r="L13" s="11" t="str">
        <f>"000174"</f>
        <v>000174</v>
      </c>
      <c r="M13" s="10">
        <v>43249</v>
      </c>
      <c r="N13" s="11" t="str">
        <f>"000055"</f>
        <v>000055</v>
      </c>
      <c r="O13" s="10">
        <v>43258</v>
      </c>
      <c r="P13" s="11" t="str">
        <f>"000057"</f>
        <v>000057</v>
      </c>
      <c r="Q13" s="10">
        <v>43259</v>
      </c>
      <c r="R13" s="11">
        <v>18</v>
      </c>
      <c r="S13" s="11" t="str">
        <f>"003283"</f>
        <v>003283</v>
      </c>
      <c r="T13" s="10">
        <v>43284</v>
      </c>
      <c r="U13" s="14">
        <v>24.988710000000001</v>
      </c>
      <c r="V13" s="14">
        <v>3.17598</v>
      </c>
      <c r="W13" s="14">
        <v>21.812729999999998</v>
      </c>
      <c r="X13" s="11">
        <v>111</v>
      </c>
      <c r="Y13" s="10">
        <v>43285</v>
      </c>
      <c r="Z13" s="11">
        <v>9945525730</v>
      </c>
      <c r="AA13" s="12" t="s">
        <v>56</v>
      </c>
      <c r="AB13" s="11" t="s">
        <v>75</v>
      </c>
      <c r="AC13" s="12" t="s">
        <v>76</v>
      </c>
      <c r="AD13" s="11" t="s">
        <v>59</v>
      </c>
      <c r="AE13" s="12" t="s">
        <v>60</v>
      </c>
      <c r="AF13" s="14">
        <v>0.2498871</v>
      </c>
      <c r="AG13" s="11" t="s">
        <v>77</v>
      </c>
    </row>
    <row r="14" spans="1:33" x14ac:dyDescent="0.2">
      <c r="A14" s="8">
        <v>3488</v>
      </c>
      <c r="B14" s="9" t="s">
        <v>71</v>
      </c>
      <c r="C14" s="10">
        <v>43299</v>
      </c>
      <c r="D14" s="11">
        <v>63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86</v>
      </c>
      <c r="J14" s="12" t="s">
        <v>87</v>
      </c>
      <c r="K14" s="13" t="s">
        <v>74</v>
      </c>
      <c r="L14" s="11" t="str">
        <f>"000026"</f>
        <v>000026</v>
      </c>
      <c r="M14" s="10">
        <v>42947</v>
      </c>
      <c r="N14" s="11" t="str">
        <f>"000124"</f>
        <v>000124</v>
      </c>
      <c r="O14" s="10">
        <v>43122</v>
      </c>
      <c r="P14" s="11" t="str">
        <f>"000113"</f>
        <v>000113</v>
      </c>
      <c r="Q14" s="10">
        <v>43122</v>
      </c>
      <c r="R14" s="11">
        <v>16</v>
      </c>
      <c r="S14" s="11" t="str">
        <f>"003905"</f>
        <v>003905</v>
      </c>
      <c r="T14" s="10">
        <v>43299</v>
      </c>
      <c r="U14" s="14">
        <v>15.02788</v>
      </c>
      <c r="V14" s="14">
        <v>1.0694999999999999</v>
      </c>
      <c r="W14" s="14">
        <v>13.95838</v>
      </c>
      <c r="X14" s="11">
        <v>127</v>
      </c>
      <c r="Y14" s="10">
        <v>43299</v>
      </c>
      <c r="Z14" s="11">
        <v>9880158718</v>
      </c>
      <c r="AA14" s="12" t="s">
        <v>88</v>
      </c>
      <c r="AB14" s="11" t="s">
        <v>89</v>
      </c>
      <c r="AC14" s="12" t="s">
        <v>90</v>
      </c>
      <c r="AD14" s="11" t="s">
        <v>59</v>
      </c>
      <c r="AE14" s="12" t="s">
        <v>60</v>
      </c>
      <c r="AF14" s="14">
        <v>0.15027879999999999</v>
      </c>
      <c r="AG14" s="11" t="s">
        <v>52</v>
      </c>
    </row>
    <row r="15" spans="1:33" x14ac:dyDescent="0.2">
      <c r="A15" s="8">
        <v>3673</v>
      </c>
      <c r="B15" s="9" t="s">
        <v>71</v>
      </c>
      <c r="C15" s="10">
        <v>43300</v>
      </c>
      <c r="D15" s="11">
        <v>63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91</v>
      </c>
      <c r="J15" s="12" t="s">
        <v>92</v>
      </c>
      <c r="K15" s="13" t="s">
        <v>74</v>
      </c>
      <c r="L15" s="11" t="str">
        <f>"000019"</f>
        <v>000019</v>
      </c>
      <c r="M15" s="10">
        <v>42292</v>
      </c>
      <c r="N15" s="11" t="str">
        <f>"000085"</f>
        <v>000085</v>
      </c>
      <c r="O15" s="10">
        <v>43190</v>
      </c>
      <c r="P15" s="11" t="str">
        <f>"000015"</f>
        <v>000015</v>
      </c>
      <c r="Q15" s="10">
        <v>43236</v>
      </c>
      <c r="R15" s="11">
        <v>13</v>
      </c>
      <c r="S15" s="11" t="str">
        <f>"003757"</f>
        <v>003757</v>
      </c>
      <c r="T15" s="10">
        <v>43294</v>
      </c>
      <c r="U15" s="14">
        <v>12.282999999999999</v>
      </c>
      <c r="V15" s="14">
        <v>1.4157999999999999</v>
      </c>
      <c r="W15" s="14">
        <v>10.8672</v>
      </c>
      <c r="X15" s="11">
        <v>131</v>
      </c>
      <c r="Y15" s="10">
        <v>43300</v>
      </c>
      <c r="Z15" s="11">
        <v>8022975808</v>
      </c>
      <c r="AA15" s="12" t="s">
        <v>93</v>
      </c>
      <c r="AB15" s="11" t="s">
        <v>94</v>
      </c>
      <c r="AC15" s="12" t="s">
        <v>95</v>
      </c>
      <c r="AD15" s="11" t="s">
        <v>44</v>
      </c>
      <c r="AE15" s="12" t="s">
        <v>45</v>
      </c>
      <c r="AF15" s="14">
        <v>0.12282999999999999</v>
      </c>
      <c r="AG15" s="11" t="s">
        <v>46</v>
      </c>
    </row>
    <row r="16" spans="1:33" x14ac:dyDescent="0.2">
      <c r="A16" s="8">
        <v>3674</v>
      </c>
      <c r="B16" s="9" t="s">
        <v>71</v>
      </c>
      <c r="C16" s="10">
        <v>43300</v>
      </c>
      <c r="D16" s="11">
        <v>63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96</v>
      </c>
      <c r="J16" s="12" t="s">
        <v>97</v>
      </c>
      <c r="K16" s="13" t="s">
        <v>74</v>
      </c>
      <c r="L16" s="11" t="str">
        <f>"000012"</f>
        <v>000012</v>
      </c>
      <c r="M16" s="10">
        <v>42107</v>
      </c>
      <c r="N16" s="11" t="str">
        <f>"000084"</f>
        <v>000084</v>
      </c>
      <c r="O16" s="10">
        <v>43190</v>
      </c>
      <c r="P16" s="11" t="str">
        <f>"000017"</f>
        <v>000017</v>
      </c>
      <c r="Q16" s="10">
        <v>43236</v>
      </c>
      <c r="R16" s="11">
        <v>13</v>
      </c>
      <c r="S16" s="11" t="str">
        <f>"003758"</f>
        <v>003758</v>
      </c>
      <c r="T16" s="10">
        <v>43294</v>
      </c>
      <c r="U16" s="14">
        <v>10.254799999999999</v>
      </c>
      <c r="V16" s="14">
        <v>1.1802999999999999</v>
      </c>
      <c r="W16" s="14">
        <v>9.0745000000000005</v>
      </c>
      <c r="X16" s="11">
        <v>131</v>
      </c>
      <c r="Y16" s="10">
        <v>43300</v>
      </c>
      <c r="Z16" s="11">
        <v>8022975888</v>
      </c>
      <c r="AA16" s="12" t="s">
        <v>93</v>
      </c>
      <c r="AB16" s="11" t="s">
        <v>94</v>
      </c>
      <c r="AC16" s="12" t="s">
        <v>95</v>
      </c>
      <c r="AD16" s="11" t="s">
        <v>44</v>
      </c>
      <c r="AE16" s="12" t="s">
        <v>45</v>
      </c>
      <c r="AF16" s="14">
        <v>0.102548</v>
      </c>
      <c r="AG16" s="11" t="s">
        <v>46</v>
      </c>
    </row>
    <row r="17" spans="1:33" x14ac:dyDescent="0.2">
      <c r="A17" s="8">
        <v>3675</v>
      </c>
      <c r="B17" s="9" t="s">
        <v>71</v>
      </c>
      <c r="C17" s="10">
        <v>43300</v>
      </c>
      <c r="D17" s="11">
        <v>63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98</v>
      </c>
      <c r="J17" s="12" t="s">
        <v>99</v>
      </c>
      <c r="K17" s="13" t="s">
        <v>74</v>
      </c>
      <c r="L17" s="11" t="str">
        <f>"000020"</f>
        <v>000020</v>
      </c>
      <c r="M17" s="10">
        <v>42107</v>
      </c>
      <c r="N17" s="11" t="str">
        <f>"000083"</f>
        <v>000083</v>
      </c>
      <c r="O17" s="10">
        <v>43190</v>
      </c>
      <c r="P17" s="11" t="str">
        <f>"000018"</f>
        <v>000018</v>
      </c>
      <c r="Q17" s="10">
        <v>43236</v>
      </c>
      <c r="R17" s="11">
        <v>13</v>
      </c>
      <c r="S17" s="11" t="str">
        <f>"003759"</f>
        <v>003759</v>
      </c>
      <c r="T17" s="10">
        <v>43294</v>
      </c>
      <c r="U17" s="14">
        <v>13.5565</v>
      </c>
      <c r="V17" s="14">
        <v>1.5504500000000001</v>
      </c>
      <c r="W17" s="14">
        <v>12.00605</v>
      </c>
      <c r="X17" s="11">
        <v>131</v>
      </c>
      <c r="Y17" s="10">
        <v>43300</v>
      </c>
      <c r="Z17" s="11">
        <v>8022975888</v>
      </c>
      <c r="AA17" s="12" t="s">
        <v>93</v>
      </c>
      <c r="AB17" s="11" t="s">
        <v>94</v>
      </c>
      <c r="AC17" s="12" t="s">
        <v>95</v>
      </c>
      <c r="AD17" s="11" t="s">
        <v>44</v>
      </c>
      <c r="AE17" s="12" t="s">
        <v>45</v>
      </c>
      <c r="AF17" s="14">
        <v>0.13556499999999999</v>
      </c>
      <c r="AG17" s="11" t="s">
        <v>46</v>
      </c>
    </row>
    <row r="18" spans="1:33" x14ac:dyDescent="0.2">
      <c r="A18" s="8">
        <v>3726</v>
      </c>
      <c r="B18" s="9" t="s">
        <v>71</v>
      </c>
      <c r="C18" s="10">
        <v>43301</v>
      </c>
      <c r="D18" s="11">
        <v>63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86</v>
      </c>
      <c r="J18" s="12" t="s">
        <v>87</v>
      </c>
      <c r="K18" s="13" t="s">
        <v>74</v>
      </c>
      <c r="L18" s="11" t="str">
        <f>"000026"</f>
        <v>000026</v>
      </c>
      <c r="M18" s="10">
        <v>42947</v>
      </c>
      <c r="N18" s="11" t="str">
        <f>"000124"</f>
        <v>000124</v>
      </c>
      <c r="O18" s="10">
        <v>43122</v>
      </c>
      <c r="P18" s="11" t="str">
        <f>"000113"</f>
        <v>000113</v>
      </c>
      <c r="Q18" s="10">
        <v>43122</v>
      </c>
      <c r="R18" s="11">
        <v>16</v>
      </c>
      <c r="S18" s="11" t="str">
        <f>"003905"</f>
        <v>003905</v>
      </c>
      <c r="T18" s="10">
        <v>43299</v>
      </c>
      <c r="U18" s="14">
        <v>2.6219000000000001</v>
      </c>
      <c r="V18" s="14">
        <v>0.23637</v>
      </c>
      <c r="W18" s="14">
        <v>2.3855300000000002</v>
      </c>
      <c r="X18" s="11">
        <v>134</v>
      </c>
      <c r="Y18" s="10">
        <v>43301</v>
      </c>
      <c r="Z18" s="11">
        <v>9880158718</v>
      </c>
      <c r="AA18" s="12" t="s">
        <v>88</v>
      </c>
      <c r="AB18" s="11" t="s">
        <v>89</v>
      </c>
      <c r="AC18" s="12" t="s">
        <v>90</v>
      </c>
      <c r="AD18" s="11" t="s">
        <v>59</v>
      </c>
      <c r="AE18" s="12" t="s">
        <v>60</v>
      </c>
      <c r="AF18" s="14">
        <v>2.6219000000000003E-2</v>
      </c>
      <c r="AG18" s="11" t="s">
        <v>52</v>
      </c>
    </row>
    <row r="19" spans="1:33" x14ac:dyDescent="0.2">
      <c r="A19" s="8">
        <v>4101</v>
      </c>
      <c r="B19" s="9" t="s">
        <v>71</v>
      </c>
      <c r="C19" s="10">
        <v>43308</v>
      </c>
      <c r="D19" s="11">
        <v>63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100</v>
      </c>
      <c r="J19" s="12" t="s">
        <v>101</v>
      </c>
      <c r="K19" s="13" t="s">
        <v>102</v>
      </c>
      <c r="L19" s="11" t="str">
        <f>"000051"</f>
        <v>000051</v>
      </c>
      <c r="M19" s="10">
        <v>43294</v>
      </c>
      <c r="N19" s="11" t="str">
        <f>"000019"</f>
        <v>000019</v>
      </c>
      <c r="O19" s="10">
        <v>43294</v>
      </c>
      <c r="P19" s="11" t="str">
        <f>"000044"</f>
        <v>000044</v>
      </c>
      <c r="Q19" s="10">
        <v>43294</v>
      </c>
      <c r="R19" s="11">
        <v>18</v>
      </c>
      <c r="S19" s="11" t="str">
        <f>"004419"</f>
        <v>004419</v>
      </c>
      <c r="T19" s="10">
        <v>43306</v>
      </c>
      <c r="U19" s="14">
        <v>12.526</v>
      </c>
      <c r="V19" s="14">
        <v>0.28100000000000003</v>
      </c>
      <c r="W19" s="14">
        <v>12.244999999999999</v>
      </c>
      <c r="X19" s="11">
        <v>145</v>
      </c>
      <c r="Y19" s="10">
        <v>43308</v>
      </c>
      <c r="Z19" s="11">
        <v>9448853642</v>
      </c>
      <c r="AA19" s="12" t="s">
        <v>103</v>
      </c>
      <c r="AB19" s="11" t="s">
        <v>57</v>
      </c>
      <c r="AC19" s="12" t="s">
        <v>58</v>
      </c>
      <c r="AD19" s="11" t="s">
        <v>44</v>
      </c>
      <c r="AE19" s="12" t="s">
        <v>45</v>
      </c>
      <c r="AF19" s="14">
        <v>0.12526000000000001</v>
      </c>
      <c r="AG19" s="11" t="s">
        <v>77</v>
      </c>
    </row>
    <row r="20" spans="1:33" x14ac:dyDescent="0.2">
      <c r="A20" s="8">
        <v>4341</v>
      </c>
      <c r="B20" s="9" t="s">
        <v>104</v>
      </c>
      <c r="C20" s="10">
        <v>43316</v>
      </c>
      <c r="D20" s="11">
        <v>63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105</v>
      </c>
      <c r="J20" s="12" t="s">
        <v>106</v>
      </c>
      <c r="K20" s="13" t="s">
        <v>74</v>
      </c>
      <c r="L20" s="11" t="str">
        <f>"000002"</f>
        <v>000002</v>
      </c>
      <c r="M20" s="10">
        <v>42887</v>
      </c>
      <c r="N20" s="11" t="str">
        <f>"12"</f>
        <v>12</v>
      </c>
      <c r="O20" s="10">
        <v>17</v>
      </c>
      <c r="P20" s="11" t="str">
        <f>"021"</f>
        <v>021</v>
      </c>
      <c r="Q20" s="10">
        <v>17</v>
      </c>
      <c r="R20" s="11">
        <v>17</v>
      </c>
      <c r="S20" s="11" t="str">
        <f>"004737"</f>
        <v>004737</v>
      </c>
      <c r="T20" s="10">
        <v>43314</v>
      </c>
      <c r="U20" s="14">
        <v>0.79139999999999999</v>
      </c>
      <c r="V20" s="14">
        <v>0.1009</v>
      </c>
      <c r="W20" s="14">
        <v>0.6905</v>
      </c>
      <c r="X20" s="11">
        <v>155</v>
      </c>
      <c r="Y20" s="10">
        <v>43316</v>
      </c>
      <c r="Z20" s="11">
        <v>822975815</v>
      </c>
      <c r="AA20" s="12" t="s">
        <v>107</v>
      </c>
      <c r="AB20" s="11" t="s">
        <v>57</v>
      </c>
      <c r="AC20" s="12" t="s">
        <v>58</v>
      </c>
      <c r="AD20" s="11" t="s">
        <v>65</v>
      </c>
      <c r="AE20" s="12" t="s">
        <v>66</v>
      </c>
      <c r="AF20" s="14">
        <v>7.9139999999999992E-3</v>
      </c>
      <c r="AG20" s="11" t="s">
        <v>52</v>
      </c>
    </row>
    <row r="21" spans="1:33" x14ac:dyDescent="0.2">
      <c r="A21" s="8">
        <v>4441</v>
      </c>
      <c r="B21" s="9" t="s">
        <v>104</v>
      </c>
      <c r="C21" s="10">
        <v>43318</v>
      </c>
      <c r="D21" s="11">
        <v>63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108</v>
      </c>
      <c r="J21" s="12" t="s">
        <v>109</v>
      </c>
      <c r="K21" s="13" t="s">
        <v>55</v>
      </c>
      <c r="L21" s="11" t="str">
        <f>"000004"</f>
        <v>000004</v>
      </c>
      <c r="M21" s="10">
        <v>42201</v>
      </c>
      <c r="N21" s="11" t="str">
        <f>"000016"</f>
        <v>000016</v>
      </c>
      <c r="O21" s="10">
        <v>43111</v>
      </c>
      <c r="P21" s="11" t="str">
        <f>"000019"</f>
        <v>000019</v>
      </c>
      <c r="Q21" s="10">
        <v>43112</v>
      </c>
      <c r="R21" s="11">
        <v>13</v>
      </c>
      <c r="S21" s="11" t="str">
        <f>"004884"</f>
        <v>004884</v>
      </c>
      <c r="T21" s="10">
        <v>43316</v>
      </c>
      <c r="U21" s="14">
        <v>527.94524999999999</v>
      </c>
      <c r="V21" s="14">
        <v>16.366320000000002</v>
      </c>
      <c r="W21" s="14">
        <v>511.57893000000001</v>
      </c>
      <c r="X21" s="11">
        <v>157</v>
      </c>
      <c r="Y21" s="10">
        <v>43318</v>
      </c>
      <c r="Z21" s="11">
        <v>9341234288</v>
      </c>
      <c r="AA21" s="12" t="s">
        <v>110</v>
      </c>
      <c r="AB21" s="11" t="s">
        <v>111</v>
      </c>
      <c r="AC21" s="12" t="s">
        <v>112</v>
      </c>
      <c r="AD21" s="11" t="s">
        <v>65</v>
      </c>
      <c r="AE21" s="12" t="s">
        <v>66</v>
      </c>
      <c r="AF21" s="14">
        <v>5.2794524999999997</v>
      </c>
      <c r="AG21" s="11" t="s">
        <v>52</v>
      </c>
    </row>
    <row r="22" spans="1:33" x14ac:dyDescent="0.2">
      <c r="A22" s="8">
        <v>4794</v>
      </c>
      <c r="B22" s="9" t="s">
        <v>104</v>
      </c>
      <c r="C22" s="10">
        <v>43326</v>
      </c>
      <c r="D22" s="11">
        <v>63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113</v>
      </c>
      <c r="J22" s="12" t="s">
        <v>114</v>
      </c>
      <c r="K22" s="13" t="s">
        <v>40</v>
      </c>
      <c r="L22" s="11" t="str">
        <f>"000214"</f>
        <v>000214</v>
      </c>
      <c r="M22" s="10">
        <v>41550</v>
      </c>
      <c r="N22" s="11" t="str">
        <f>"000004"</f>
        <v>000004</v>
      </c>
      <c r="O22" s="10">
        <v>41789</v>
      </c>
      <c r="P22" s="11" t="str">
        <f>"000127"</f>
        <v>000127</v>
      </c>
      <c r="Q22" s="10">
        <v>41790</v>
      </c>
      <c r="R22" s="11">
        <v>13</v>
      </c>
      <c r="S22" s="11" t="str">
        <f>"004950"</f>
        <v>004950</v>
      </c>
      <c r="T22" s="10">
        <v>43319</v>
      </c>
      <c r="U22" s="14">
        <v>3.89805</v>
      </c>
      <c r="V22" s="14">
        <v>0.54623999999999995</v>
      </c>
      <c r="W22" s="14">
        <v>3.35181</v>
      </c>
      <c r="X22" s="11">
        <v>168</v>
      </c>
      <c r="Y22" s="10">
        <v>43326</v>
      </c>
      <c r="Z22" s="11">
        <v>9585968956</v>
      </c>
      <c r="AA22" s="12" t="s">
        <v>49</v>
      </c>
      <c r="AB22" s="11" t="s">
        <v>69</v>
      </c>
      <c r="AC22" s="12" t="s">
        <v>70</v>
      </c>
      <c r="AD22" s="11" t="s">
        <v>44</v>
      </c>
      <c r="AE22" s="12" t="s">
        <v>45</v>
      </c>
      <c r="AF22" s="14">
        <v>3.8980500000000001E-2</v>
      </c>
      <c r="AG22" s="11" t="s">
        <v>52</v>
      </c>
    </row>
    <row r="23" spans="1:33" x14ac:dyDescent="0.2">
      <c r="A23" s="8">
        <v>4795</v>
      </c>
      <c r="B23" s="9" t="s">
        <v>104</v>
      </c>
      <c r="C23" s="10">
        <v>43326</v>
      </c>
      <c r="D23" s="11">
        <v>63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115</v>
      </c>
      <c r="J23" s="12" t="s">
        <v>116</v>
      </c>
      <c r="K23" s="13" t="s">
        <v>40</v>
      </c>
      <c r="L23" s="11" t="str">
        <f>"000194"</f>
        <v>000194</v>
      </c>
      <c r="M23" s="10">
        <v>41550</v>
      </c>
      <c r="N23" s="11" t="str">
        <f>"000005"</f>
        <v>000005</v>
      </c>
      <c r="O23" s="10">
        <v>41789</v>
      </c>
      <c r="P23" s="11" t="str">
        <f>"000128"</f>
        <v>000128</v>
      </c>
      <c r="Q23" s="10">
        <v>41790</v>
      </c>
      <c r="R23" s="11">
        <v>13</v>
      </c>
      <c r="S23" s="11" t="str">
        <f>"004951"</f>
        <v>004951</v>
      </c>
      <c r="T23" s="10">
        <v>43319</v>
      </c>
      <c r="U23" s="14">
        <v>7.8118600000000002</v>
      </c>
      <c r="V23" s="14">
        <v>1.08717</v>
      </c>
      <c r="W23" s="14">
        <v>6.7246899999999998</v>
      </c>
      <c r="X23" s="11">
        <v>168</v>
      </c>
      <c r="Y23" s="10">
        <v>43326</v>
      </c>
      <c r="Z23" s="11">
        <v>9552698659</v>
      </c>
      <c r="AA23" s="12" t="s">
        <v>49</v>
      </c>
      <c r="AB23" s="11" t="s">
        <v>69</v>
      </c>
      <c r="AC23" s="12" t="s">
        <v>70</v>
      </c>
      <c r="AD23" s="11" t="s">
        <v>44</v>
      </c>
      <c r="AE23" s="12" t="s">
        <v>45</v>
      </c>
      <c r="AF23" s="14">
        <v>7.8118599999999996E-2</v>
      </c>
      <c r="AG23" s="11" t="s">
        <v>52</v>
      </c>
    </row>
    <row r="24" spans="1:33" x14ac:dyDescent="0.2">
      <c r="A24" s="8">
        <v>4796</v>
      </c>
      <c r="B24" s="9" t="s">
        <v>104</v>
      </c>
      <c r="C24" s="10">
        <v>43326</v>
      </c>
      <c r="D24" s="11">
        <v>63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117</v>
      </c>
      <c r="J24" s="12" t="s">
        <v>118</v>
      </c>
      <c r="K24" s="13" t="s">
        <v>40</v>
      </c>
      <c r="L24" s="11" t="str">
        <f>"000195"</f>
        <v>000195</v>
      </c>
      <c r="M24" s="10">
        <v>41550</v>
      </c>
      <c r="N24" s="11" t="str">
        <f>"000006"</f>
        <v>000006</v>
      </c>
      <c r="O24" s="10">
        <v>41791</v>
      </c>
      <c r="P24" s="11" t="str">
        <f>"000130"</f>
        <v>000130</v>
      </c>
      <c r="Q24" s="10">
        <v>41790</v>
      </c>
      <c r="R24" s="11">
        <v>13</v>
      </c>
      <c r="S24" s="11" t="str">
        <f>"004952"</f>
        <v>004952</v>
      </c>
      <c r="T24" s="10">
        <v>43319</v>
      </c>
      <c r="U24" s="14">
        <v>8.8646999999999991</v>
      </c>
      <c r="V24" s="14">
        <v>1.21455</v>
      </c>
      <c r="W24" s="14">
        <v>7.65015</v>
      </c>
      <c r="X24" s="11">
        <v>168</v>
      </c>
      <c r="Y24" s="10">
        <v>43326</v>
      </c>
      <c r="Z24" s="11">
        <v>9854565989</v>
      </c>
      <c r="AA24" s="12" t="s">
        <v>49</v>
      </c>
      <c r="AB24" s="11" t="s">
        <v>69</v>
      </c>
      <c r="AC24" s="12" t="s">
        <v>70</v>
      </c>
      <c r="AD24" s="11" t="s">
        <v>44</v>
      </c>
      <c r="AE24" s="12" t="s">
        <v>45</v>
      </c>
      <c r="AF24" s="14">
        <v>8.864699999999999E-2</v>
      </c>
      <c r="AG24" s="11" t="s">
        <v>52</v>
      </c>
    </row>
    <row r="25" spans="1:33" x14ac:dyDescent="0.2">
      <c r="A25" s="8">
        <v>4797</v>
      </c>
      <c r="B25" s="9" t="s">
        <v>104</v>
      </c>
      <c r="C25" s="10">
        <v>43326</v>
      </c>
      <c r="D25" s="11">
        <v>63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119</v>
      </c>
      <c r="J25" s="12" t="s">
        <v>120</v>
      </c>
      <c r="K25" s="13" t="s">
        <v>40</v>
      </c>
      <c r="L25" s="11" t="str">
        <f>"000213"</f>
        <v>000213</v>
      </c>
      <c r="M25" s="10">
        <v>41550</v>
      </c>
      <c r="N25" s="11" t="str">
        <f>"000073"</f>
        <v>000073</v>
      </c>
      <c r="O25" s="10">
        <v>41831</v>
      </c>
      <c r="P25" s="11" t="str">
        <f>"000204"</f>
        <v>000204</v>
      </c>
      <c r="Q25" s="10">
        <v>41851</v>
      </c>
      <c r="R25" s="11">
        <v>13</v>
      </c>
      <c r="S25" s="11" t="str">
        <f>"004953"</f>
        <v>004953</v>
      </c>
      <c r="T25" s="10">
        <v>43319</v>
      </c>
      <c r="U25" s="14">
        <v>2.6160899999999998</v>
      </c>
      <c r="V25" s="14">
        <v>0.37990000000000002</v>
      </c>
      <c r="W25" s="14">
        <v>2.2361900000000001</v>
      </c>
      <c r="X25" s="11">
        <v>168</v>
      </c>
      <c r="Y25" s="10">
        <v>43326</v>
      </c>
      <c r="Z25" s="11">
        <v>9856598598</v>
      </c>
      <c r="AA25" s="12" t="s">
        <v>49</v>
      </c>
      <c r="AB25" s="11" t="s">
        <v>69</v>
      </c>
      <c r="AC25" s="12" t="s">
        <v>70</v>
      </c>
      <c r="AD25" s="11" t="s">
        <v>44</v>
      </c>
      <c r="AE25" s="12" t="s">
        <v>45</v>
      </c>
      <c r="AF25" s="14">
        <v>2.6160899999999997E-2</v>
      </c>
      <c r="AG25" s="11" t="s">
        <v>52</v>
      </c>
    </row>
    <row r="26" spans="1:33" x14ac:dyDescent="0.2">
      <c r="A26" s="8">
        <v>5046</v>
      </c>
      <c r="B26" s="9" t="s">
        <v>104</v>
      </c>
      <c r="C26" s="10">
        <v>43335</v>
      </c>
      <c r="D26" s="11">
        <v>63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121</v>
      </c>
      <c r="J26" s="12" t="s">
        <v>122</v>
      </c>
      <c r="K26" s="13" t="s">
        <v>74</v>
      </c>
      <c r="L26" s="11" t="str">
        <f>".00063"</f>
        <v>.00063</v>
      </c>
      <c r="M26" s="10">
        <v>42845</v>
      </c>
      <c r="N26" s="11" t="str">
        <f>"000041"</f>
        <v>000041</v>
      </c>
      <c r="O26" s="10">
        <v>43190</v>
      </c>
      <c r="P26" s="11" t="str">
        <f>"000021"</f>
        <v>000021</v>
      </c>
      <c r="Q26" s="10">
        <v>43293</v>
      </c>
      <c r="R26" s="11">
        <v>17</v>
      </c>
      <c r="S26" s="11" t="str">
        <f>"005348"</f>
        <v>005348</v>
      </c>
      <c r="T26" s="10">
        <v>43335</v>
      </c>
      <c r="U26" s="14">
        <v>7.3067000000000002</v>
      </c>
      <c r="V26" s="14">
        <v>0.71399999999999997</v>
      </c>
      <c r="W26" s="14">
        <v>6.5926999999999998</v>
      </c>
      <c r="X26" s="11">
        <v>178</v>
      </c>
      <c r="Y26" s="10">
        <v>43335</v>
      </c>
      <c r="Z26" s="11">
        <v>8022975815</v>
      </c>
      <c r="AA26" s="12" t="s">
        <v>49</v>
      </c>
      <c r="AB26" s="11" t="s">
        <v>57</v>
      </c>
      <c r="AC26" s="12" t="s">
        <v>58</v>
      </c>
      <c r="AD26" s="11" t="s">
        <v>65</v>
      </c>
      <c r="AE26" s="12" t="s">
        <v>66</v>
      </c>
      <c r="AF26" s="14">
        <v>7.3067000000000007E-2</v>
      </c>
      <c r="AG26" s="11" t="s">
        <v>46</v>
      </c>
    </row>
    <row r="27" spans="1:33" x14ac:dyDescent="0.2">
      <c r="A27" s="8">
        <v>5047</v>
      </c>
      <c r="B27" s="9" t="s">
        <v>104</v>
      </c>
      <c r="C27" s="10">
        <v>43335</v>
      </c>
      <c r="D27" s="11">
        <v>63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123</v>
      </c>
      <c r="J27" s="12" t="s">
        <v>124</v>
      </c>
      <c r="K27" s="13" t="s">
        <v>40</v>
      </c>
      <c r="L27" s="11" t="str">
        <f>"000005"</f>
        <v>000005</v>
      </c>
      <c r="M27" s="10">
        <v>43293</v>
      </c>
      <c r="N27" s="11" t="str">
        <f>"000003"</f>
        <v>000003</v>
      </c>
      <c r="O27" s="10">
        <v>43293</v>
      </c>
      <c r="P27" s="11" t="str">
        <f>"000022"</f>
        <v>000022</v>
      </c>
      <c r="Q27" s="10">
        <v>43293</v>
      </c>
      <c r="R27" s="11">
        <v>17</v>
      </c>
      <c r="S27" s="11" t="str">
        <f>"005349"</f>
        <v>005349</v>
      </c>
      <c r="T27" s="10">
        <v>43335</v>
      </c>
      <c r="U27" s="14">
        <v>12.3226</v>
      </c>
      <c r="V27" s="14">
        <v>1.1423000000000001</v>
      </c>
      <c r="W27" s="14">
        <v>11.180300000000001</v>
      </c>
      <c r="X27" s="11">
        <v>178</v>
      </c>
      <c r="Y27" s="10">
        <v>43335</v>
      </c>
      <c r="Z27" s="11">
        <v>8022975815</v>
      </c>
      <c r="AA27" s="12" t="s">
        <v>107</v>
      </c>
      <c r="AB27" s="11" t="s">
        <v>57</v>
      </c>
      <c r="AC27" s="12" t="s">
        <v>58</v>
      </c>
      <c r="AD27" s="11" t="s">
        <v>65</v>
      </c>
      <c r="AE27" s="12" t="s">
        <v>66</v>
      </c>
      <c r="AF27" s="14">
        <v>0.123226</v>
      </c>
      <c r="AG27" s="11" t="s">
        <v>77</v>
      </c>
    </row>
    <row r="28" spans="1:33" x14ac:dyDescent="0.2">
      <c r="A28" s="8">
        <v>5100</v>
      </c>
      <c r="B28" s="9" t="s">
        <v>104</v>
      </c>
      <c r="C28" s="10">
        <v>43337</v>
      </c>
      <c r="D28" s="11">
        <v>63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125</v>
      </c>
      <c r="J28" s="12" t="s">
        <v>126</v>
      </c>
      <c r="K28" s="13" t="s">
        <v>40</v>
      </c>
      <c r="L28" s="11" t="str">
        <f>"000197"</f>
        <v>000197</v>
      </c>
      <c r="M28" s="10">
        <v>43137</v>
      </c>
      <c r="N28" s="11" t="str">
        <f>"000049"</f>
        <v>000049</v>
      </c>
      <c r="O28" s="10">
        <v>43137</v>
      </c>
      <c r="P28" s="11" t="str">
        <f>"000259"</f>
        <v>000259</v>
      </c>
      <c r="Q28" s="10">
        <v>43145</v>
      </c>
      <c r="R28" s="11">
        <v>17</v>
      </c>
      <c r="S28" s="11" t="str">
        <f>"005389"</f>
        <v>005389</v>
      </c>
      <c r="T28" s="10">
        <v>43337</v>
      </c>
      <c r="U28" s="14">
        <v>9.9642999999999997</v>
      </c>
      <c r="V28" s="14">
        <v>0.76</v>
      </c>
      <c r="W28" s="14">
        <v>9.2042999999999999</v>
      </c>
      <c r="X28" s="11">
        <v>182</v>
      </c>
      <c r="Y28" s="10">
        <v>43337</v>
      </c>
      <c r="Z28" s="11">
        <v>9341285087</v>
      </c>
      <c r="AA28" s="12" t="s">
        <v>127</v>
      </c>
      <c r="AB28" s="11" t="s">
        <v>69</v>
      </c>
      <c r="AC28" s="12" t="s">
        <v>70</v>
      </c>
      <c r="AD28" s="11" t="s">
        <v>44</v>
      </c>
      <c r="AE28" s="12" t="s">
        <v>45</v>
      </c>
      <c r="AF28" s="14">
        <v>9.9642999999999995E-2</v>
      </c>
      <c r="AG28" s="11" t="s">
        <v>52</v>
      </c>
    </row>
    <row r="29" spans="1:33" x14ac:dyDescent="0.2">
      <c r="A29" s="8">
        <v>6056</v>
      </c>
      <c r="B29" s="9" t="s">
        <v>128</v>
      </c>
      <c r="C29" s="10">
        <v>43385</v>
      </c>
      <c r="D29" s="11">
        <v>63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38</v>
      </c>
      <c r="J29" s="12" t="s">
        <v>39</v>
      </c>
      <c r="K29" s="13" t="s">
        <v>40</v>
      </c>
      <c r="L29" s="11" t="str">
        <f t="shared" ref="L29:L34" si="0">"000219"</f>
        <v>000219</v>
      </c>
      <c r="M29" s="10">
        <v>43160</v>
      </c>
      <c r="N29" s="11" t="str">
        <f t="shared" ref="N29:N34" si="1">"000071"</f>
        <v>000071</v>
      </c>
      <c r="O29" s="10">
        <v>43181</v>
      </c>
      <c r="P29" s="11" t="str">
        <f t="shared" ref="P29:P34" si="2">"000285"</f>
        <v>000285</v>
      </c>
      <c r="Q29" s="10">
        <v>43181</v>
      </c>
      <c r="R29" s="11">
        <v>17</v>
      </c>
      <c r="S29" s="11" t="str">
        <f t="shared" ref="S29:S34" si="3">"000318"</f>
        <v>000318</v>
      </c>
      <c r="T29" s="10">
        <v>43196</v>
      </c>
      <c r="U29" s="14">
        <v>154.34293</v>
      </c>
      <c r="V29" s="14">
        <v>4.7847499999999998</v>
      </c>
      <c r="W29" s="14">
        <v>149.55817999999999</v>
      </c>
      <c r="X29" s="11">
        <v>227</v>
      </c>
      <c r="Y29" s="10">
        <v>43385</v>
      </c>
      <c r="Z29" s="11">
        <v>9856598956</v>
      </c>
      <c r="AA29" s="12" t="s">
        <v>41</v>
      </c>
      <c r="AB29" s="11" t="s">
        <v>42</v>
      </c>
      <c r="AC29" s="12" t="s">
        <v>43</v>
      </c>
      <c r="AD29" s="11" t="s">
        <v>44</v>
      </c>
      <c r="AE29" s="12" t="s">
        <v>45</v>
      </c>
      <c r="AF29" s="14">
        <f t="shared" ref="AF29:AF50" si="4">U29/100</f>
        <v>1.5434292999999999</v>
      </c>
      <c r="AG29" s="11" t="s">
        <v>52</v>
      </c>
    </row>
    <row r="30" spans="1:33" x14ac:dyDescent="0.2">
      <c r="A30" s="8">
        <v>6057</v>
      </c>
      <c r="B30" s="9" t="s">
        <v>128</v>
      </c>
      <c r="C30" s="10">
        <v>43385</v>
      </c>
      <c r="D30" s="11">
        <v>63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38</v>
      </c>
      <c r="J30" s="12" t="s">
        <v>39</v>
      </c>
      <c r="K30" s="13" t="s">
        <v>40</v>
      </c>
      <c r="L30" s="11" t="str">
        <f t="shared" si="0"/>
        <v>000219</v>
      </c>
      <c r="M30" s="10">
        <v>43160</v>
      </c>
      <c r="N30" s="11" t="str">
        <f t="shared" si="1"/>
        <v>000071</v>
      </c>
      <c r="O30" s="10">
        <v>43181</v>
      </c>
      <c r="P30" s="11" t="str">
        <f t="shared" si="2"/>
        <v>000285</v>
      </c>
      <c r="Q30" s="10">
        <v>43181</v>
      </c>
      <c r="R30" s="11">
        <v>17</v>
      </c>
      <c r="S30" s="11" t="str">
        <f t="shared" si="3"/>
        <v>000318</v>
      </c>
      <c r="T30" s="10">
        <v>43196</v>
      </c>
      <c r="U30" s="14">
        <v>133.33278000000001</v>
      </c>
      <c r="V30" s="14">
        <v>4.1332800000000001</v>
      </c>
      <c r="W30" s="14">
        <v>129.1995</v>
      </c>
      <c r="X30" s="11">
        <v>227</v>
      </c>
      <c r="Y30" s="10">
        <v>43385</v>
      </c>
      <c r="Z30" s="11">
        <v>9856598956</v>
      </c>
      <c r="AA30" s="12" t="s">
        <v>41</v>
      </c>
      <c r="AB30" s="11" t="s">
        <v>42</v>
      </c>
      <c r="AC30" s="12" t="s">
        <v>43</v>
      </c>
      <c r="AD30" s="11" t="s">
        <v>44</v>
      </c>
      <c r="AE30" s="12" t="s">
        <v>45</v>
      </c>
      <c r="AF30" s="14">
        <f t="shared" si="4"/>
        <v>1.3333278000000002</v>
      </c>
      <c r="AG30" s="11" t="s">
        <v>52</v>
      </c>
    </row>
    <row r="31" spans="1:33" x14ac:dyDescent="0.2">
      <c r="A31" s="8">
        <v>6058</v>
      </c>
      <c r="B31" s="9" t="s">
        <v>128</v>
      </c>
      <c r="C31" s="10">
        <v>43385</v>
      </c>
      <c r="D31" s="11">
        <v>63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38</v>
      </c>
      <c r="J31" s="12" t="s">
        <v>39</v>
      </c>
      <c r="K31" s="13" t="s">
        <v>40</v>
      </c>
      <c r="L31" s="11" t="str">
        <f t="shared" si="0"/>
        <v>000219</v>
      </c>
      <c r="M31" s="10">
        <v>43160</v>
      </c>
      <c r="N31" s="11" t="str">
        <f t="shared" si="1"/>
        <v>000071</v>
      </c>
      <c r="O31" s="10">
        <v>43181</v>
      </c>
      <c r="P31" s="11" t="str">
        <f t="shared" si="2"/>
        <v>000285</v>
      </c>
      <c r="Q31" s="10">
        <v>43181</v>
      </c>
      <c r="R31" s="11">
        <v>17</v>
      </c>
      <c r="S31" s="11" t="str">
        <f t="shared" si="3"/>
        <v>000318</v>
      </c>
      <c r="T31" s="10">
        <v>43196</v>
      </c>
      <c r="U31" s="14">
        <v>154.34293</v>
      </c>
      <c r="V31" s="14">
        <v>4.7847499999999998</v>
      </c>
      <c r="W31" s="14">
        <v>149.55817999999999</v>
      </c>
      <c r="X31" s="11">
        <v>227</v>
      </c>
      <c r="Y31" s="10">
        <v>43385</v>
      </c>
      <c r="Z31" s="11">
        <v>9856598956</v>
      </c>
      <c r="AA31" s="12" t="s">
        <v>41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f t="shared" si="4"/>
        <v>1.5434292999999999</v>
      </c>
      <c r="AG31" s="11" t="s">
        <v>52</v>
      </c>
    </row>
    <row r="32" spans="1:33" x14ac:dyDescent="0.2">
      <c r="A32" s="8">
        <v>6059</v>
      </c>
      <c r="B32" s="9" t="s">
        <v>128</v>
      </c>
      <c r="C32" s="10">
        <v>43385</v>
      </c>
      <c r="D32" s="11">
        <v>63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38</v>
      </c>
      <c r="J32" s="12" t="s">
        <v>39</v>
      </c>
      <c r="K32" s="13" t="s">
        <v>40</v>
      </c>
      <c r="L32" s="11" t="str">
        <f t="shared" si="0"/>
        <v>000219</v>
      </c>
      <c r="M32" s="10">
        <v>43160</v>
      </c>
      <c r="N32" s="11" t="str">
        <f t="shared" si="1"/>
        <v>000071</v>
      </c>
      <c r="O32" s="10">
        <v>43181</v>
      </c>
      <c r="P32" s="11" t="str">
        <f t="shared" si="2"/>
        <v>000285</v>
      </c>
      <c r="Q32" s="10">
        <v>43181</v>
      </c>
      <c r="R32" s="11">
        <v>17</v>
      </c>
      <c r="S32" s="11" t="str">
        <f t="shared" si="3"/>
        <v>000318</v>
      </c>
      <c r="T32" s="10">
        <v>43196</v>
      </c>
      <c r="U32" s="14">
        <v>133.33278000000001</v>
      </c>
      <c r="V32" s="14">
        <v>4.1332800000000001</v>
      </c>
      <c r="W32" s="14">
        <v>129.1995</v>
      </c>
      <c r="X32" s="11">
        <v>227</v>
      </c>
      <c r="Y32" s="10">
        <v>43385</v>
      </c>
      <c r="Z32" s="11">
        <v>9856598956</v>
      </c>
      <c r="AA32" s="12" t="s">
        <v>41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f t="shared" si="4"/>
        <v>1.3333278000000002</v>
      </c>
      <c r="AG32" s="11" t="s">
        <v>52</v>
      </c>
    </row>
    <row r="33" spans="1:33" x14ac:dyDescent="0.2">
      <c r="A33" s="8">
        <v>6060</v>
      </c>
      <c r="B33" s="9" t="s">
        <v>128</v>
      </c>
      <c r="C33" s="10">
        <v>43385</v>
      </c>
      <c r="D33" s="11">
        <v>63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38</v>
      </c>
      <c r="J33" s="12" t="s">
        <v>39</v>
      </c>
      <c r="K33" s="13" t="s">
        <v>40</v>
      </c>
      <c r="L33" s="11" t="str">
        <f t="shared" si="0"/>
        <v>000219</v>
      </c>
      <c r="M33" s="10">
        <v>43160</v>
      </c>
      <c r="N33" s="11" t="str">
        <f t="shared" si="1"/>
        <v>000071</v>
      </c>
      <c r="O33" s="10">
        <v>43181</v>
      </c>
      <c r="P33" s="11" t="str">
        <f t="shared" si="2"/>
        <v>000285</v>
      </c>
      <c r="Q33" s="10">
        <v>43181</v>
      </c>
      <c r="R33" s="11">
        <v>17</v>
      </c>
      <c r="S33" s="11" t="str">
        <f t="shared" si="3"/>
        <v>000318</v>
      </c>
      <c r="T33" s="10">
        <v>43196</v>
      </c>
      <c r="U33" s="14">
        <v>238.84299999999999</v>
      </c>
      <c r="V33" s="14">
        <v>7.4169999999999998</v>
      </c>
      <c r="W33" s="14">
        <v>231.42599999999999</v>
      </c>
      <c r="X33" s="11">
        <v>232</v>
      </c>
      <c r="Y33" s="10">
        <v>43385</v>
      </c>
      <c r="Z33" s="11">
        <v>9856598956</v>
      </c>
      <c r="AA33" s="12" t="s">
        <v>41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f t="shared" si="4"/>
        <v>2.3884300000000001</v>
      </c>
      <c r="AG33" s="11" t="s">
        <v>52</v>
      </c>
    </row>
    <row r="34" spans="1:33" x14ac:dyDescent="0.2">
      <c r="A34" s="8">
        <v>6061</v>
      </c>
      <c r="B34" s="9" t="s">
        <v>128</v>
      </c>
      <c r="C34" s="10">
        <v>43385</v>
      </c>
      <c r="D34" s="11">
        <v>63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38</v>
      </c>
      <c r="J34" s="12" t="s">
        <v>39</v>
      </c>
      <c r="K34" s="13" t="s">
        <v>40</v>
      </c>
      <c r="L34" s="11" t="str">
        <f t="shared" si="0"/>
        <v>000219</v>
      </c>
      <c r="M34" s="10">
        <v>43160</v>
      </c>
      <c r="N34" s="11" t="str">
        <f t="shared" si="1"/>
        <v>000071</v>
      </c>
      <c r="O34" s="10">
        <v>43181</v>
      </c>
      <c r="P34" s="11" t="str">
        <f t="shared" si="2"/>
        <v>000285</v>
      </c>
      <c r="Q34" s="10">
        <v>43181</v>
      </c>
      <c r="R34" s="11">
        <v>17</v>
      </c>
      <c r="S34" s="11" t="str">
        <f t="shared" si="3"/>
        <v>000318</v>
      </c>
      <c r="T34" s="10">
        <v>43196</v>
      </c>
      <c r="U34" s="14">
        <v>99.235500000000002</v>
      </c>
      <c r="V34" s="14">
        <v>3.07721</v>
      </c>
      <c r="W34" s="14">
        <v>96.158289999999994</v>
      </c>
      <c r="X34" s="11">
        <v>233</v>
      </c>
      <c r="Y34" s="10">
        <v>43385</v>
      </c>
      <c r="Z34" s="11">
        <v>9856598956</v>
      </c>
      <c r="AA34" s="12" t="s">
        <v>41</v>
      </c>
      <c r="AB34" s="11" t="s">
        <v>42</v>
      </c>
      <c r="AC34" s="12" t="s">
        <v>43</v>
      </c>
      <c r="AD34" s="11" t="s">
        <v>44</v>
      </c>
      <c r="AE34" s="12" t="s">
        <v>45</v>
      </c>
      <c r="AF34" s="14">
        <f t="shared" si="4"/>
        <v>0.99235499999999999</v>
      </c>
      <c r="AG34" s="11" t="s">
        <v>52</v>
      </c>
    </row>
    <row r="35" spans="1:33" x14ac:dyDescent="0.2">
      <c r="A35" s="8">
        <v>7066</v>
      </c>
      <c r="B35" s="9" t="s">
        <v>128</v>
      </c>
      <c r="C35" s="10">
        <v>43404</v>
      </c>
      <c r="D35" s="11">
        <v>63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129</v>
      </c>
      <c r="J35" s="12" t="s">
        <v>130</v>
      </c>
      <c r="K35" s="13" t="s">
        <v>74</v>
      </c>
      <c r="L35" s="11" t="str">
        <f>"000005"</f>
        <v>000005</v>
      </c>
      <c r="M35" s="10">
        <v>42887</v>
      </c>
      <c r="N35" s="11" t="str">
        <f>"14"</f>
        <v>14</v>
      </c>
      <c r="O35" s="10">
        <v>17</v>
      </c>
      <c r="P35" s="11" t="str">
        <f>"019"</f>
        <v>019</v>
      </c>
      <c r="Q35" s="10">
        <v>17</v>
      </c>
      <c r="R35" s="11">
        <v>17</v>
      </c>
      <c r="S35" s="11" t="str">
        <f>"007101"</f>
        <v>007101</v>
      </c>
      <c r="T35" s="10">
        <v>43402</v>
      </c>
      <c r="U35" s="14">
        <v>6.5728999999999997</v>
      </c>
      <c r="V35" s="14">
        <v>0.82835000000000003</v>
      </c>
      <c r="W35" s="14">
        <v>5.7445500000000003</v>
      </c>
      <c r="X35" s="11">
        <v>258</v>
      </c>
      <c r="Y35" s="10">
        <v>43404</v>
      </c>
      <c r="Z35" s="11">
        <v>8022975815</v>
      </c>
      <c r="AA35" s="12" t="s">
        <v>49</v>
      </c>
      <c r="AB35" s="11" t="s">
        <v>57</v>
      </c>
      <c r="AC35" s="12" t="s">
        <v>58</v>
      </c>
      <c r="AD35" s="11" t="s">
        <v>65</v>
      </c>
      <c r="AE35" s="12" t="s">
        <v>66</v>
      </c>
      <c r="AF35" s="14">
        <f t="shared" si="4"/>
        <v>6.5728999999999996E-2</v>
      </c>
      <c r="AG35" s="11" t="s">
        <v>52</v>
      </c>
    </row>
    <row r="36" spans="1:33" x14ac:dyDescent="0.2">
      <c r="A36" s="8">
        <v>7067</v>
      </c>
      <c r="B36" s="9" t="s">
        <v>128</v>
      </c>
      <c r="C36" s="10">
        <v>43404</v>
      </c>
      <c r="D36" s="11">
        <v>63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131</v>
      </c>
      <c r="J36" s="12" t="s">
        <v>132</v>
      </c>
      <c r="K36" s="13" t="s">
        <v>74</v>
      </c>
      <c r="L36" s="11" t="str">
        <f>"000004"</f>
        <v>000004</v>
      </c>
      <c r="M36" s="10">
        <v>42887</v>
      </c>
      <c r="N36" s="11" t="str">
        <f>"13"</f>
        <v>13</v>
      </c>
      <c r="O36" s="10">
        <v>17</v>
      </c>
      <c r="P36" s="11" t="str">
        <f>"020"</f>
        <v>020</v>
      </c>
      <c r="Q36" s="10">
        <v>17</v>
      </c>
      <c r="R36" s="11">
        <v>17</v>
      </c>
      <c r="S36" s="11" t="str">
        <f>"007102"</f>
        <v>007102</v>
      </c>
      <c r="T36" s="10">
        <v>43402</v>
      </c>
      <c r="U36" s="14">
        <v>9.8204999999999991</v>
      </c>
      <c r="V36" s="14">
        <v>1.2375499999999999</v>
      </c>
      <c r="W36" s="14">
        <v>8.5829500000000003</v>
      </c>
      <c r="X36" s="11">
        <v>258</v>
      </c>
      <c r="Y36" s="10">
        <v>43404</v>
      </c>
      <c r="Z36" s="11">
        <v>822975815</v>
      </c>
      <c r="AA36" s="12" t="s">
        <v>107</v>
      </c>
      <c r="AB36" s="11" t="s">
        <v>57</v>
      </c>
      <c r="AC36" s="12" t="s">
        <v>58</v>
      </c>
      <c r="AD36" s="11" t="s">
        <v>65</v>
      </c>
      <c r="AE36" s="12" t="s">
        <v>66</v>
      </c>
      <c r="AF36" s="14">
        <f t="shared" si="4"/>
        <v>9.8204999999999987E-2</v>
      </c>
      <c r="AG36" s="11" t="s">
        <v>52</v>
      </c>
    </row>
    <row r="37" spans="1:33" x14ac:dyDescent="0.2">
      <c r="A37" s="8">
        <v>7218</v>
      </c>
      <c r="B37" s="9" t="s">
        <v>133</v>
      </c>
      <c r="C37" s="10">
        <v>43420</v>
      </c>
      <c r="D37" s="11">
        <v>63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134</v>
      </c>
      <c r="J37" s="12" t="s">
        <v>135</v>
      </c>
      <c r="K37" s="13" t="s">
        <v>40</v>
      </c>
      <c r="L37" s="11" t="str">
        <f>"000107"</f>
        <v>000107</v>
      </c>
      <c r="M37" s="10">
        <v>43361</v>
      </c>
      <c r="N37" s="11" t="str">
        <f>"000086"</f>
        <v>000086</v>
      </c>
      <c r="O37" s="10">
        <v>43399</v>
      </c>
      <c r="P37" s="11" t="str">
        <f>"000123"</f>
        <v>000123</v>
      </c>
      <c r="Q37" s="10">
        <v>43399</v>
      </c>
      <c r="R37" s="11">
        <v>18</v>
      </c>
      <c r="S37" s="11" t="str">
        <f>"007317"</f>
        <v>007317</v>
      </c>
      <c r="T37" s="10">
        <v>43417</v>
      </c>
      <c r="U37" s="14">
        <v>34.835999999999999</v>
      </c>
      <c r="V37" s="14">
        <v>3.5249999999999999</v>
      </c>
      <c r="W37" s="14">
        <v>31.311</v>
      </c>
      <c r="X37" s="11">
        <v>265</v>
      </c>
      <c r="Y37" s="10">
        <v>43420</v>
      </c>
      <c r="Z37" s="11">
        <v>9562356986</v>
      </c>
      <c r="AA37" s="12" t="s">
        <v>49</v>
      </c>
      <c r="AB37" s="11" t="s">
        <v>136</v>
      </c>
      <c r="AC37" s="12" t="s">
        <v>137</v>
      </c>
      <c r="AD37" s="11" t="s">
        <v>44</v>
      </c>
      <c r="AE37" s="12" t="s">
        <v>45</v>
      </c>
      <c r="AF37" s="14">
        <f t="shared" si="4"/>
        <v>0.34836</v>
      </c>
      <c r="AG37" s="11" t="s">
        <v>77</v>
      </c>
    </row>
    <row r="38" spans="1:33" x14ac:dyDescent="0.2">
      <c r="A38" s="8">
        <v>8266</v>
      </c>
      <c r="B38" s="9" t="s">
        <v>138</v>
      </c>
      <c r="C38" s="10">
        <v>43466</v>
      </c>
      <c r="D38" s="11">
        <v>63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38</v>
      </c>
      <c r="J38" s="12" t="s">
        <v>39</v>
      </c>
      <c r="K38" s="13" t="s">
        <v>40</v>
      </c>
      <c r="L38" s="11" t="str">
        <f>"000219"</f>
        <v>000219</v>
      </c>
      <c r="M38" s="10">
        <v>43160</v>
      </c>
      <c r="N38" s="11" t="str">
        <f>"000071"</f>
        <v>000071</v>
      </c>
      <c r="O38" s="10">
        <v>43181</v>
      </c>
      <c r="P38" s="11" t="str">
        <f>"000285"</f>
        <v>000285</v>
      </c>
      <c r="Q38" s="10">
        <v>43181</v>
      </c>
      <c r="R38" s="11"/>
      <c r="S38" s="11" t="str">
        <f>"000318"</f>
        <v>000318</v>
      </c>
      <c r="T38" s="10">
        <v>43196</v>
      </c>
      <c r="U38" s="14">
        <v>3.5920000000000001</v>
      </c>
      <c r="V38" s="14">
        <v>0.36</v>
      </c>
      <c r="W38" s="14">
        <v>3.2320000000000002</v>
      </c>
      <c r="X38" s="11">
        <v>309</v>
      </c>
      <c r="Y38" s="10">
        <v>43466</v>
      </c>
      <c r="Z38" s="11">
        <v>8123256061</v>
      </c>
      <c r="AA38" s="12" t="s">
        <v>139</v>
      </c>
      <c r="AB38" s="11" t="s">
        <v>42</v>
      </c>
      <c r="AC38" s="12" t="s">
        <v>43</v>
      </c>
      <c r="AD38" s="11" t="s">
        <v>44</v>
      </c>
      <c r="AE38" s="12" t="s">
        <v>45</v>
      </c>
      <c r="AF38" s="14">
        <f t="shared" si="4"/>
        <v>3.5920000000000001E-2</v>
      </c>
      <c r="AG38" s="11" t="s">
        <v>52</v>
      </c>
    </row>
    <row r="39" spans="1:33" x14ac:dyDescent="0.2">
      <c r="A39" s="8">
        <v>8339</v>
      </c>
      <c r="B39" s="9" t="s">
        <v>138</v>
      </c>
      <c r="C39" s="10">
        <v>43467</v>
      </c>
      <c r="D39" s="11">
        <v>63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140</v>
      </c>
      <c r="J39" s="12" t="s">
        <v>141</v>
      </c>
      <c r="K39" s="13" t="s">
        <v>142</v>
      </c>
      <c r="L39" s="11" t="str">
        <f>"000113"</f>
        <v>000113</v>
      </c>
      <c r="M39" s="10">
        <v>43385</v>
      </c>
      <c r="N39" s="11" t="str">
        <f>"000080"</f>
        <v>000080</v>
      </c>
      <c r="O39" s="10">
        <v>43385</v>
      </c>
      <c r="P39" s="11" t="str">
        <f>"000119"</f>
        <v>000119</v>
      </c>
      <c r="Q39" s="10">
        <v>43385</v>
      </c>
      <c r="R39" s="11"/>
      <c r="S39" s="11" t="str">
        <f>"007905"</f>
        <v>007905</v>
      </c>
      <c r="T39" s="10">
        <v>43445</v>
      </c>
      <c r="U39" s="14">
        <v>44.835999999999999</v>
      </c>
      <c r="V39" s="14">
        <v>5.1420000000000003</v>
      </c>
      <c r="W39" s="14">
        <v>39.694000000000003</v>
      </c>
      <c r="X39" s="11">
        <v>311</v>
      </c>
      <c r="Y39" s="10">
        <v>43467</v>
      </c>
      <c r="Z39" s="11">
        <v>9148515184</v>
      </c>
      <c r="AA39" s="12" t="s">
        <v>49</v>
      </c>
      <c r="AB39" s="11" t="s">
        <v>143</v>
      </c>
      <c r="AC39" s="12" t="s">
        <v>144</v>
      </c>
      <c r="AD39" s="11" t="s">
        <v>44</v>
      </c>
      <c r="AE39" s="12" t="s">
        <v>45</v>
      </c>
      <c r="AF39" s="14">
        <f t="shared" si="4"/>
        <v>0.44835999999999998</v>
      </c>
      <c r="AG39" s="11" t="s">
        <v>77</v>
      </c>
    </row>
    <row r="40" spans="1:33" x14ac:dyDescent="0.2">
      <c r="A40" s="8">
        <v>8635</v>
      </c>
      <c r="B40" s="9" t="s">
        <v>138</v>
      </c>
      <c r="C40" s="10">
        <v>43483</v>
      </c>
      <c r="D40" s="11">
        <v>63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145</v>
      </c>
      <c r="J40" s="12" t="s">
        <v>146</v>
      </c>
      <c r="K40" s="13" t="s">
        <v>40</v>
      </c>
      <c r="L40" s="11" t="str">
        <f>"000011"</f>
        <v>000011</v>
      </c>
      <c r="M40" s="10">
        <v>43138</v>
      </c>
      <c r="N40" s="11" t="str">
        <f>"000031"</f>
        <v>000031</v>
      </c>
      <c r="O40" s="10">
        <v>43439</v>
      </c>
      <c r="P40" s="11" t="str">
        <f>"000054"</f>
        <v>000054</v>
      </c>
      <c r="Q40" s="10">
        <v>43445</v>
      </c>
      <c r="R40" s="11"/>
      <c r="S40" s="11" t="str">
        <f>"008777"</f>
        <v>008777</v>
      </c>
      <c r="T40" s="10">
        <v>43483</v>
      </c>
      <c r="U40" s="14">
        <v>17.997</v>
      </c>
      <c r="V40" s="14">
        <v>2.0242</v>
      </c>
      <c r="W40" s="14">
        <v>15.972799999999999</v>
      </c>
      <c r="X40" s="11">
        <v>327</v>
      </c>
      <c r="Y40" s="10">
        <v>43483</v>
      </c>
      <c r="Z40" s="11">
        <v>8022975815</v>
      </c>
      <c r="AA40" s="12" t="s">
        <v>147</v>
      </c>
      <c r="AB40" s="11" t="s">
        <v>57</v>
      </c>
      <c r="AC40" s="12" t="s">
        <v>58</v>
      </c>
      <c r="AD40" s="11" t="s">
        <v>65</v>
      </c>
      <c r="AE40" s="12" t="s">
        <v>66</v>
      </c>
      <c r="AF40" s="14">
        <f t="shared" si="4"/>
        <v>0.17996999999999999</v>
      </c>
      <c r="AG40" s="11" t="s">
        <v>46</v>
      </c>
    </row>
    <row r="41" spans="1:33" x14ac:dyDescent="0.2">
      <c r="A41" s="8">
        <v>8636</v>
      </c>
      <c r="B41" s="9" t="s">
        <v>138</v>
      </c>
      <c r="C41" s="10">
        <v>43483</v>
      </c>
      <c r="D41" s="11">
        <v>63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148</v>
      </c>
      <c r="J41" s="12" t="s">
        <v>149</v>
      </c>
      <c r="K41" s="13" t="s">
        <v>40</v>
      </c>
      <c r="L41" s="11" t="str">
        <f>"000013"</f>
        <v>000013</v>
      </c>
      <c r="M41" s="10">
        <v>43138</v>
      </c>
      <c r="N41" s="11" t="str">
        <f>"000029"</f>
        <v>000029</v>
      </c>
      <c r="O41" s="10">
        <v>43439</v>
      </c>
      <c r="P41" s="11" t="str">
        <f>"000052"</f>
        <v>000052</v>
      </c>
      <c r="Q41" s="10">
        <v>43445</v>
      </c>
      <c r="R41" s="11"/>
      <c r="S41" s="11" t="str">
        <f>"008778"</f>
        <v>008778</v>
      </c>
      <c r="T41" s="10">
        <v>43483</v>
      </c>
      <c r="U41" s="14">
        <v>28.587700000000002</v>
      </c>
      <c r="V41" s="14">
        <v>3.2080000000000002</v>
      </c>
      <c r="W41" s="14">
        <v>25.3797</v>
      </c>
      <c r="X41" s="11">
        <v>327</v>
      </c>
      <c r="Y41" s="10">
        <v>43483</v>
      </c>
      <c r="Z41" s="11">
        <v>822975815</v>
      </c>
      <c r="AA41" s="12" t="s">
        <v>147</v>
      </c>
      <c r="AB41" s="11" t="s">
        <v>57</v>
      </c>
      <c r="AC41" s="12" t="s">
        <v>58</v>
      </c>
      <c r="AD41" s="11" t="s">
        <v>65</v>
      </c>
      <c r="AE41" s="12" t="s">
        <v>66</v>
      </c>
      <c r="AF41" s="14">
        <f t="shared" si="4"/>
        <v>0.28587699999999999</v>
      </c>
      <c r="AG41" s="11" t="s">
        <v>46</v>
      </c>
    </row>
    <row r="42" spans="1:33" x14ac:dyDescent="0.2">
      <c r="A42" s="8">
        <v>8638</v>
      </c>
      <c r="B42" s="9" t="s">
        <v>138</v>
      </c>
      <c r="C42" s="10">
        <v>43483</v>
      </c>
      <c r="D42" s="11">
        <v>63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150</v>
      </c>
      <c r="J42" s="12" t="s">
        <v>151</v>
      </c>
      <c r="K42" s="13" t="s">
        <v>40</v>
      </c>
      <c r="L42" s="11" t="str">
        <f>"000012"</f>
        <v>000012</v>
      </c>
      <c r="M42" s="10">
        <v>43138</v>
      </c>
      <c r="N42" s="11" t="str">
        <f>"000030"</f>
        <v>000030</v>
      </c>
      <c r="O42" s="10">
        <v>43439</v>
      </c>
      <c r="P42" s="11" t="str">
        <f>"000053"</f>
        <v>000053</v>
      </c>
      <c r="Q42" s="10">
        <v>43445</v>
      </c>
      <c r="R42" s="11"/>
      <c r="S42" s="11" t="str">
        <f>"008780"</f>
        <v>008780</v>
      </c>
      <c r="T42" s="10">
        <v>43483</v>
      </c>
      <c r="U42" s="14">
        <v>22.5624</v>
      </c>
      <c r="V42" s="14">
        <v>2.5415999999999999</v>
      </c>
      <c r="W42" s="14">
        <v>20.020800000000001</v>
      </c>
      <c r="X42" s="11">
        <v>327</v>
      </c>
      <c r="Y42" s="10">
        <v>43483</v>
      </c>
      <c r="Z42" s="11">
        <v>822975815</v>
      </c>
      <c r="AA42" s="12" t="s">
        <v>147</v>
      </c>
      <c r="AB42" s="11" t="s">
        <v>57</v>
      </c>
      <c r="AC42" s="12" t="s">
        <v>58</v>
      </c>
      <c r="AD42" s="11" t="s">
        <v>65</v>
      </c>
      <c r="AE42" s="12" t="s">
        <v>66</v>
      </c>
      <c r="AF42" s="14">
        <f t="shared" si="4"/>
        <v>0.22562399999999999</v>
      </c>
      <c r="AG42" s="11" t="s">
        <v>46</v>
      </c>
    </row>
    <row r="43" spans="1:33" x14ac:dyDescent="0.2">
      <c r="A43" s="8">
        <v>9603</v>
      </c>
      <c r="B43" s="9" t="s">
        <v>152</v>
      </c>
      <c r="C43" s="10">
        <v>43531</v>
      </c>
      <c r="D43" s="11">
        <v>63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153</v>
      </c>
      <c r="J43" s="12" t="s">
        <v>154</v>
      </c>
      <c r="K43" s="13" t="s">
        <v>64</v>
      </c>
      <c r="L43" s="11" t="str">
        <f>"000006"</f>
        <v>000006</v>
      </c>
      <c r="M43" s="10">
        <v>42991</v>
      </c>
      <c r="N43" s="11" t="str">
        <f>"000011"</f>
        <v>000011</v>
      </c>
      <c r="O43" s="10">
        <v>43088</v>
      </c>
      <c r="P43" s="11" t="str">
        <f>"000014"</f>
        <v>000014</v>
      </c>
      <c r="Q43" s="10">
        <v>43090</v>
      </c>
      <c r="R43" s="11"/>
      <c r="S43" s="11" t="str">
        <f>"009498"</f>
        <v>009498</v>
      </c>
      <c r="T43" s="10">
        <v>43525</v>
      </c>
      <c r="U43" s="14">
        <v>35.844299999999997</v>
      </c>
      <c r="V43" s="14">
        <v>3.8572500000000001</v>
      </c>
      <c r="W43" s="14">
        <v>31.98705</v>
      </c>
      <c r="X43" s="11">
        <v>371</v>
      </c>
      <c r="Y43" s="10">
        <v>43531</v>
      </c>
      <c r="Z43" s="11">
        <v>8022975815</v>
      </c>
      <c r="AA43" s="12" t="s">
        <v>49</v>
      </c>
      <c r="AB43" s="11" t="s">
        <v>155</v>
      </c>
      <c r="AC43" s="12" t="s">
        <v>156</v>
      </c>
      <c r="AD43" s="11" t="s">
        <v>65</v>
      </c>
      <c r="AE43" s="12" t="s">
        <v>66</v>
      </c>
      <c r="AF43" s="14">
        <f t="shared" si="4"/>
        <v>0.35844299999999996</v>
      </c>
      <c r="AG43" s="11" t="s">
        <v>52</v>
      </c>
    </row>
    <row r="44" spans="1:33" x14ac:dyDescent="0.2">
      <c r="A44" s="8">
        <v>9807</v>
      </c>
      <c r="B44" s="9" t="s">
        <v>152</v>
      </c>
      <c r="C44" s="10">
        <v>43546</v>
      </c>
      <c r="D44" s="11">
        <v>63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157</v>
      </c>
      <c r="J44" s="12" t="s">
        <v>158</v>
      </c>
      <c r="K44" s="13" t="s">
        <v>74</v>
      </c>
      <c r="L44" s="11" t="str">
        <f>"000140"</f>
        <v>000140</v>
      </c>
      <c r="M44" s="10">
        <v>43402</v>
      </c>
      <c r="N44" s="11" t="str">
        <f>"000133"</f>
        <v>000133</v>
      </c>
      <c r="O44" s="10">
        <v>43453</v>
      </c>
      <c r="P44" s="11" t="str">
        <f>"000181"</f>
        <v>000181</v>
      </c>
      <c r="Q44" s="10">
        <v>43460</v>
      </c>
      <c r="R44" s="11"/>
      <c r="S44" s="11" t="str">
        <f>"009819"</f>
        <v>009819</v>
      </c>
      <c r="T44" s="10">
        <v>43544</v>
      </c>
      <c r="U44" s="14">
        <v>29.97</v>
      </c>
      <c r="V44" s="14">
        <v>3.47</v>
      </c>
      <c r="W44" s="14">
        <v>26.5</v>
      </c>
      <c r="X44" s="11">
        <v>382</v>
      </c>
      <c r="Y44" s="10">
        <v>43546</v>
      </c>
      <c r="Z44" s="11">
        <v>9856565989</v>
      </c>
      <c r="AA44" s="12" t="s">
        <v>49</v>
      </c>
      <c r="AB44" s="11" t="s">
        <v>136</v>
      </c>
      <c r="AC44" s="12" t="s">
        <v>137</v>
      </c>
      <c r="AD44" s="11" t="s">
        <v>44</v>
      </c>
      <c r="AE44" s="12" t="s">
        <v>45</v>
      </c>
      <c r="AF44" s="14">
        <f t="shared" si="4"/>
        <v>0.29969999999999997</v>
      </c>
      <c r="AG44" s="11" t="s">
        <v>77</v>
      </c>
    </row>
    <row r="45" spans="1:33" x14ac:dyDescent="0.2">
      <c r="A45" s="8">
        <v>9808</v>
      </c>
      <c r="B45" s="9" t="s">
        <v>152</v>
      </c>
      <c r="C45" s="10">
        <v>43546</v>
      </c>
      <c r="D45" s="11">
        <v>63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159</v>
      </c>
      <c r="J45" s="12" t="s">
        <v>160</v>
      </c>
      <c r="K45" s="13" t="s">
        <v>74</v>
      </c>
      <c r="L45" s="11" t="str">
        <f>"000141"</f>
        <v>000141</v>
      </c>
      <c r="M45" s="10">
        <v>43402</v>
      </c>
      <c r="N45" s="11" t="str">
        <f>"000125"</f>
        <v>000125</v>
      </c>
      <c r="O45" s="10">
        <v>43446</v>
      </c>
      <c r="P45" s="11" t="str">
        <f>"000180"</f>
        <v>000180</v>
      </c>
      <c r="Q45" s="10">
        <v>43460</v>
      </c>
      <c r="R45" s="11"/>
      <c r="S45" s="11" t="str">
        <f>"009820"</f>
        <v>009820</v>
      </c>
      <c r="T45" s="10">
        <v>43544</v>
      </c>
      <c r="U45" s="14">
        <v>9.89</v>
      </c>
      <c r="V45" s="14">
        <v>1.22</v>
      </c>
      <c r="W45" s="14">
        <v>8.67</v>
      </c>
      <c r="X45" s="11">
        <v>382</v>
      </c>
      <c r="Y45" s="10">
        <v>43546</v>
      </c>
      <c r="Z45" s="11">
        <v>9856598956</v>
      </c>
      <c r="AA45" s="12" t="s">
        <v>49</v>
      </c>
      <c r="AB45" s="11" t="s">
        <v>136</v>
      </c>
      <c r="AC45" s="12" t="s">
        <v>137</v>
      </c>
      <c r="AD45" s="11" t="s">
        <v>44</v>
      </c>
      <c r="AE45" s="12" t="s">
        <v>45</v>
      </c>
      <c r="AF45" s="14">
        <f t="shared" si="4"/>
        <v>9.8900000000000002E-2</v>
      </c>
      <c r="AG45" s="11" t="s">
        <v>77</v>
      </c>
    </row>
    <row r="46" spans="1:33" x14ac:dyDescent="0.2">
      <c r="A46" s="8">
        <v>9809</v>
      </c>
      <c r="B46" s="9" t="s">
        <v>152</v>
      </c>
      <c r="C46" s="10">
        <v>43546</v>
      </c>
      <c r="D46" s="11">
        <v>63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161</v>
      </c>
      <c r="J46" s="12" t="s">
        <v>162</v>
      </c>
      <c r="K46" s="13" t="s">
        <v>55</v>
      </c>
      <c r="L46" s="11" t="str">
        <f>"000143"</f>
        <v>000143</v>
      </c>
      <c r="M46" s="10">
        <v>43402</v>
      </c>
      <c r="N46" s="11" t="str">
        <f>"000134"</f>
        <v>000134</v>
      </c>
      <c r="O46" s="10">
        <v>43453</v>
      </c>
      <c r="P46" s="11" t="str">
        <f>"000183"</f>
        <v>000183</v>
      </c>
      <c r="Q46" s="10">
        <v>43460</v>
      </c>
      <c r="R46" s="11"/>
      <c r="S46" s="11" t="str">
        <f>"009821"</f>
        <v>009821</v>
      </c>
      <c r="T46" s="10">
        <v>43544</v>
      </c>
      <c r="U46" s="14">
        <v>29.97</v>
      </c>
      <c r="V46" s="14">
        <v>3.74</v>
      </c>
      <c r="W46" s="14">
        <v>26.23</v>
      </c>
      <c r="X46" s="11">
        <v>382</v>
      </c>
      <c r="Y46" s="10">
        <v>43546</v>
      </c>
      <c r="Z46" s="11">
        <v>9856235698</v>
      </c>
      <c r="AA46" s="12" t="s">
        <v>49</v>
      </c>
      <c r="AB46" s="11" t="s">
        <v>136</v>
      </c>
      <c r="AC46" s="12" t="s">
        <v>137</v>
      </c>
      <c r="AD46" s="11" t="s">
        <v>44</v>
      </c>
      <c r="AE46" s="12" t="s">
        <v>45</v>
      </c>
      <c r="AF46" s="14">
        <f t="shared" si="4"/>
        <v>0.29969999999999997</v>
      </c>
      <c r="AG46" s="11" t="s">
        <v>77</v>
      </c>
    </row>
    <row r="47" spans="1:33" x14ac:dyDescent="0.2">
      <c r="A47" s="8">
        <v>9810</v>
      </c>
      <c r="B47" s="9" t="s">
        <v>152</v>
      </c>
      <c r="C47" s="10">
        <v>43546</v>
      </c>
      <c r="D47" s="11">
        <v>63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163</v>
      </c>
      <c r="J47" s="12" t="s">
        <v>164</v>
      </c>
      <c r="K47" s="13" t="s">
        <v>74</v>
      </c>
      <c r="L47" s="11" t="str">
        <f>"000139"</f>
        <v>000139</v>
      </c>
      <c r="M47" s="10">
        <v>43402</v>
      </c>
      <c r="N47" s="11" t="str">
        <f>"000132"</f>
        <v>000132</v>
      </c>
      <c r="O47" s="10">
        <v>43453</v>
      </c>
      <c r="P47" s="11" t="str">
        <f>"000182"</f>
        <v>000182</v>
      </c>
      <c r="Q47" s="10">
        <v>43460</v>
      </c>
      <c r="R47" s="11"/>
      <c r="S47" s="11" t="str">
        <f>"009822"</f>
        <v>009822</v>
      </c>
      <c r="T47" s="10">
        <v>43544</v>
      </c>
      <c r="U47" s="14">
        <v>14.98</v>
      </c>
      <c r="V47" s="14">
        <v>1.875</v>
      </c>
      <c r="W47" s="14">
        <v>13.105</v>
      </c>
      <c r="X47" s="11">
        <v>382</v>
      </c>
      <c r="Y47" s="10">
        <v>43546</v>
      </c>
      <c r="Z47" s="11">
        <v>9856568989</v>
      </c>
      <c r="AA47" s="12" t="s">
        <v>165</v>
      </c>
      <c r="AB47" s="11" t="s">
        <v>136</v>
      </c>
      <c r="AC47" s="12" t="s">
        <v>137</v>
      </c>
      <c r="AD47" s="11" t="s">
        <v>44</v>
      </c>
      <c r="AE47" s="12" t="s">
        <v>45</v>
      </c>
      <c r="AF47" s="14">
        <f t="shared" si="4"/>
        <v>0.14980000000000002</v>
      </c>
      <c r="AG47" s="11" t="s">
        <v>77</v>
      </c>
    </row>
    <row r="48" spans="1:33" x14ac:dyDescent="0.2">
      <c r="A48" s="8">
        <v>9811</v>
      </c>
      <c r="B48" s="9" t="s">
        <v>152</v>
      </c>
      <c r="C48" s="10">
        <v>43546</v>
      </c>
      <c r="D48" s="11">
        <v>63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166</v>
      </c>
      <c r="J48" s="12" t="s">
        <v>167</v>
      </c>
      <c r="K48" s="13" t="s">
        <v>55</v>
      </c>
      <c r="L48" s="11" t="str">
        <f>"000142"</f>
        <v>000142</v>
      </c>
      <c r="M48" s="10">
        <v>43402</v>
      </c>
      <c r="N48" s="11" t="str">
        <f>"000131"</f>
        <v>000131</v>
      </c>
      <c r="O48" s="10">
        <v>43452</v>
      </c>
      <c r="P48" s="11" t="str">
        <f>"000179"</f>
        <v>000179</v>
      </c>
      <c r="Q48" s="10">
        <v>43460</v>
      </c>
      <c r="R48" s="11"/>
      <c r="S48" s="11" t="str">
        <f>"009823"</f>
        <v>009823</v>
      </c>
      <c r="T48" s="10">
        <v>43544</v>
      </c>
      <c r="U48" s="14">
        <v>14.82</v>
      </c>
      <c r="V48" s="14">
        <v>1.9650000000000001</v>
      </c>
      <c r="W48" s="14">
        <v>12.855</v>
      </c>
      <c r="X48" s="11">
        <v>382</v>
      </c>
      <c r="Y48" s="10">
        <v>43546</v>
      </c>
      <c r="Z48" s="11">
        <v>8956898989</v>
      </c>
      <c r="AA48" s="12" t="s">
        <v>49</v>
      </c>
      <c r="AB48" s="11" t="s">
        <v>136</v>
      </c>
      <c r="AC48" s="12" t="s">
        <v>137</v>
      </c>
      <c r="AD48" s="11" t="s">
        <v>44</v>
      </c>
      <c r="AE48" s="12" t="s">
        <v>45</v>
      </c>
      <c r="AF48" s="14">
        <f t="shared" si="4"/>
        <v>0.1482</v>
      </c>
      <c r="AG48" s="11" t="s">
        <v>77</v>
      </c>
    </row>
    <row r="49" spans="1:33" x14ac:dyDescent="0.2">
      <c r="A49" s="8">
        <v>9817</v>
      </c>
      <c r="B49" s="9" t="s">
        <v>152</v>
      </c>
      <c r="C49" s="10">
        <v>43546</v>
      </c>
      <c r="D49" s="11">
        <v>63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168</v>
      </c>
      <c r="J49" s="12" t="s">
        <v>169</v>
      </c>
      <c r="K49" s="13" t="s">
        <v>55</v>
      </c>
      <c r="L49" s="11" t="str">
        <f>"000203"</f>
        <v>000203</v>
      </c>
      <c r="M49" s="10">
        <v>43503</v>
      </c>
      <c r="N49" s="11" t="str">
        <f>"000150"</f>
        <v>000150</v>
      </c>
      <c r="O49" s="10">
        <v>43507</v>
      </c>
      <c r="P49" s="11" t="str">
        <f>"000206"</f>
        <v>000206</v>
      </c>
      <c r="Q49" s="10">
        <v>43507</v>
      </c>
      <c r="R49" s="11"/>
      <c r="S49" s="11" t="str">
        <f>"009830"</f>
        <v>009830</v>
      </c>
      <c r="T49" s="10">
        <v>43544</v>
      </c>
      <c r="U49" s="14">
        <v>4.8650000000000002</v>
      </c>
      <c r="V49" s="14">
        <v>0.52300000000000002</v>
      </c>
      <c r="W49" s="14">
        <v>4.3419999999999996</v>
      </c>
      <c r="X49" s="11">
        <v>382</v>
      </c>
      <c r="Y49" s="10">
        <v>43546</v>
      </c>
      <c r="Z49" s="11">
        <v>9856235659</v>
      </c>
      <c r="AA49" s="12" t="s">
        <v>49</v>
      </c>
      <c r="AB49" s="11" t="s">
        <v>170</v>
      </c>
      <c r="AC49" s="12" t="s">
        <v>171</v>
      </c>
      <c r="AD49" s="11" t="s">
        <v>44</v>
      </c>
      <c r="AE49" s="12" t="s">
        <v>45</v>
      </c>
      <c r="AF49" s="14">
        <f t="shared" si="4"/>
        <v>4.8649999999999999E-2</v>
      </c>
      <c r="AG49" s="11" t="s">
        <v>77</v>
      </c>
    </row>
    <row r="50" spans="1:33" x14ac:dyDescent="0.2">
      <c r="A50" s="8">
        <v>9818</v>
      </c>
      <c r="B50" s="9" t="s">
        <v>152</v>
      </c>
      <c r="C50" s="10">
        <v>43546</v>
      </c>
      <c r="D50" s="11">
        <v>63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172</v>
      </c>
      <c r="J50" s="12" t="s">
        <v>173</v>
      </c>
      <c r="K50" s="13" t="s">
        <v>174</v>
      </c>
      <c r="L50" s="11" t="str">
        <f>"000204"</f>
        <v>000204</v>
      </c>
      <c r="M50" s="10">
        <v>43503</v>
      </c>
      <c r="N50" s="11" t="str">
        <f>"000151"</f>
        <v>000151</v>
      </c>
      <c r="O50" s="10">
        <v>43507</v>
      </c>
      <c r="P50" s="11" t="str">
        <f>"000205"</f>
        <v>000205</v>
      </c>
      <c r="Q50" s="10">
        <v>43507</v>
      </c>
      <c r="R50" s="11"/>
      <c r="S50" s="11" t="str">
        <f>"009831"</f>
        <v>009831</v>
      </c>
      <c r="T50" s="10">
        <v>43544</v>
      </c>
      <c r="U50" s="14">
        <v>4.9729999999999999</v>
      </c>
      <c r="V50" s="14">
        <v>0.52600000000000002</v>
      </c>
      <c r="W50" s="14">
        <v>4.4470000000000001</v>
      </c>
      <c r="X50" s="11">
        <v>382</v>
      </c>
      <c r="Y50" s="10">
        <v>43546</v>
      </c>
      <c r="Z50" s="11">
        <v>9856568989</v>
      </c>
      <c r="AA50" s="12" t="s">
        <v>49</v>
      </c>
      <c r="AB50" s="11" t="s">
        <v>175</v>
      </c>
      <c r="AC50" s="12" t="s">
        <v>176</v>
      </c>
      <c r="AD50" s="11" t="s">
        <v>44</v>
      </c>
      <c r="AE50" s="12" t="s">
        <v>45</v>
      </c>
      <c r="AF50" s="14">
        <f t="shared" si="4"/>
        <v>4.9729999999999996E-2</v>
      </c>
      <c r="AG50" s="11" t="s">
        <v>77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2019-06-13T07:42:51Z</dcterms:modified>
</cp:coreProperties>
</file>