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5" i="1" l="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<sst xmlns="http://schemas.openxmlformats.org/spreadsheetml/2006/main" count="789" uniqueCount="203">
  <si>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</si>
  <si>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</si>
  <si>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</si>
  <si>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</si>
  <si>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</si>
  <si>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</si>
  <si>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</si>
  <si>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</si>
  <si>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</si>
  <si>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</si>
  <si>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</si>
  <si>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</si>
  <si>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</si>
  <si>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</si>
  <si>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</si>
  <si>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</si>
  <si>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</si>
  <si>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</si>
  <si>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</si>
  <si>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</si>
  <si>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</si>
  <si>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</si>
  <si>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</si>
  <si>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</si>
  <si>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</si>
  <si>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</si>
  <si>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</si>
  <si>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</si>
  <si>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</si>
  <si>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</si>
  <si>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</si>
  <si>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</si>
  <si>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</si>
  <si>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</si>
  <si>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Raj Mahal Guttahalli</t>
  </si>
  <si>
    <t>Malleshwaram</t>
  </si>
  <si>
    <t>West</t>
  </si>
  <si>
    <t>064-17-000041</t>
  </si>
  <si>
    <t xml:space="preserve">Providing Asphalting and improvements to drain at V R Puram and Surrounding area in ward No-64 </t>
  </si>
  <si>
    <t>Roads &amp; Drivablility</t>
  </si>
  <si>
    <t xml:space="preserve">Sri B M Rangegowda Boregowdana </t>
  </si>
  <si>
    <t>P3158</t>
  </si>
  <si>
    <t>SIP Infrastructure Project works</t>
  </si>
  <si>
    <t>ddo206</t>
  </si>
  <si>
    <t xml:space="preserve"> Assistant Executive Engineer Malleswaram West Zone</t>
  </si>
  <si>
    <t>Spill Over</t>
  </si>
  <si>
    <t>064-17-000008</t>
  </si>
  <si>
    <t>Reserve fund for emergency works in Venkatarangapura area and LPO in ward no-64</t>
  </si>
  <si>
    <t>Other Ward Works</t>
  </si>
  <si>
    <t>H K SAJITH KUMAR</t>
  </si>
  <si>
    <t>P1771</t>
  </si>
  <si>
    <t>Zone Works - POW Works</t>
  </si>
  <si>
    <t>Pending</t>
  </si>
  <si>
    <t>064-17-000009</t>
  </si>
  <si>
    <t>Reserve fund for emergency works in SPE area in ward no-64</t>
  </si>
  <si>
    <t>064-17-000011</t>
  </si>
  <si>
    <t>Pot hole filling work both in concrete and asphalt road in ward no-64</t>
  </si>
  <si>
    <t>H K Sajith Kumar</t>
  </si>
  <si>
    <t>June</t>
  </si>
  <si>
    <t>064-16-000005</t>
  </si>
  <si>
    <t>Construction of Leaf pits at ward Jurisdiction in ward No.64-Rajmahal Guttahalli.</t>
  </si>
  <si>
    <t xml:space="preserve">Krishnappa Suryakumar Chikkalaya, </t>
  </si>
  <si>
    <t>064-16-000012</t>
  </si>
  <si>
    <t>Maintanance of BBMP Ward office at 10th Cross, Parsi Garden and 8th Cross, LPO BBMP building in ward No.64-Rajmahal Guttahalli</t>
  </si>
  <si>
    <t xml:space="preserve">T Krishnappa </t>
  </si>
  <si>
    <t>064-16-000006</t>
  </si>
  <si>
    <t>Construction of RCC Culverts in Palace Guttahalli area in ward No.64-Rajmahal Guttahalli.</t>
  </si>
  <si>
    <t>T Jayaprakash</t>
  </si>
  <si>
    <t>July</t>
  </si>
  <si>
    <t>064-16-000010</t>
  </si>
  <si>
    <t>Engaging Tractor and Labours for debries Clearance work in Ward No.64-Rajmahal Guttahalli.</t>
  </si>
  <si>
    <t>Health &amp; Sanitation</t>
  </si>
  <si>
    <t xml:space="preserve">Sri Dileep B K, </t>
  </si>
  <si>
    <t>064-16-000003</t>
  </si>
  <si>
    <t>Construction of drain and providing covering slab in Venkatrangapura 5th cross to 7th cross in ward No.64</t>
  </si>
  <si>
    <t>Footpaths &amp; Walkability</t>
  </si>
  <si>
    <t>P Arvind Contractor</t>
  </si>
  <si>
    <t>064-16-000002</t>
  </si>
  <si>
    <t>Construction of drain and providing covering slab in Venkatrangapura 1st cross to 4th cross in ward No.64</t>
  </si>
  <si>
    <t xml:space="preserve">Nischal K L </t>
  </si>
  <si>
    <t>064-17-000005</t>
  </si>
  <si>
    <t>Improvements works to BBMP tailoring library gymnasium and health office building in ward no-64</t>
  </si>
  <si>
    <t>Trees, Parks &amp; Playgrounds</t>
  </si>
  <si>
    <t>Nischal K L</t>
  </si>
  <si>
    <t>064-17-000010</t>
  </si>
  <si>
    <t>Reserve fund for emergency works in Vayalikaval area in ward no-64</t>
  </si>
  <si>
    <t>August</t>
  </si>
  <si>
    <t>064-17-000007</t>
  </si>
  <si>
    <t>Reserve fund for emergency works in palace guttahalli area in ward no-64</t>
  </si>
  <si>
    <t>Sri K L Nischal</t>
  </si>
  <si>
    <t>064-13-000020</t>
  </si>
  <si>
    <t>Improvements to roads Palace Guttahalli and Muneshwara Block and area in ward no 64</t>
  </si>
  <si>
    <t xml:space="preserve">Executive Engineer-2  M/s KRIDL BBMP(West) </t>
  </si>
  <si>
    <t>P2201</t>
  </si>
  <si>
    <t>Assembly Constituency Development Works under BBMP</t>
  </si>
  <si>
    <t>064-16-000001</t>
  </si>
  <si>
    <t>Annual Operation And maintenance Of Street Lights at Palace Guttahalli in Ward No- 64.</t>
  </si>
  <si>
    <t>Praveen Enterprises</t>
  </si>
  <si>
    <t>P0300</t>
  </si>
  <si>
    <t>M and R to Street Lights - Replacement of Burnt Bulbs etc. (Package)</t>
  </si>
  <si>
    <t>ddo209</t>
  </si>
  <si>
    <t xml:space="preserve"> Assistant Executive Engineer Electrical West Zone</t>
  </si>
  <si>
    <t>KL Nischal</t>
  </si>
  <si>
    <t>September</t>
  </si>
  <si>
    <t>064-17-000020</t>
  </si>
  <si>
    <t xml:space="preserve">Providing drinking water works in Ward No 64 in Malleshwaram Division </t>
  </si>
  <si>
    <t>Drinking Water</t>
  </si>
  <si>
    <t xml:space="preserve">Executive Engineer-2 KRIDL BBMP (West) </t>
  </si>
  <si>
    <t>P3110</t>
  </si>
  <si>
    <t>14th Finance Commission Grant Works</t>
  </si>
  <si>
    <t>Current</t>
  </si>
  <si>
    <t>064-17-000050</t>
  </si>
  <si>
    <t>Repairs of Building and Construction of toilet and other allied works in Kodandaramapura BBMP School in ward no 64</t>
  </si>
  <si>
    <t>064-17-000004</t>
  </si>
  <si>
    <t>Construction of RWA s building over lower palace orchid 8th cross BBMP building in ward no-64</t>
  </si>
  <si>
    <t xml:space="preserve"> Karthik N </t>
  </si>
  <si>
    <t>064-11-000033</t>
  </si>
  <si>
    <t>Providing asphalting in 8th cross, 6th Cross and 1st Yellappa Garden, and surroundings area in ward no.64</t>
  </si>
  <si>
    <t>H S Cheluve Gowda</t>
  </si>
  <si>
    <t>P2311</t>
  </si>
  <si>
    <t>Developmental works at Swimming pool colony Maruthi Extension lower Palace Orchards area</t>
  </si>
  <si>
    <t>064-17-000019</t>
  </si>
  <si>
    <t>Improvements works to Ramanna park in ward no-64</t>
  </si>
  <si>
    <t>Suresh Babu P</t>
  </si>
  <si>
    <t>Karthik N</t>
  </si>
  <si>
    <t>October</t>
  </si>
  <si>
    <t>064-17-000012</t>
  </si>
  <si>
    <t>Depot collection for the year 2016-17 in ward no-64</t>
  </si>
  <si>
    <t>064-13-000003</t>
  </si>
  <si>
    <t>Depot Collecting for the Year 2012-2013 in ward no.64</t>
  </si>
  <si>
    <t>T Lakshman Gowda</t>
  </si>
  <si>
    <t>064-17-000056</t>
  </si>
  <si>
    <t xml:space="preserve"> Providing CC Camera at Garbage Block Spots in ward no 64</t>
  </si>
  <si>
    <t>Crime &amp; Safety</t>
  </si>
  <si>
    <t xml:space="preserve">Dhananjaya B S </t>
  </si>
  <si>
    <t>December</t>
  </si>
  <si>
    <t>064-11-000039</t>
  </si>
  <si>
    <t>Maintenance security cleaning in Vyalikaval ground</t>
  </si>
  <si>
    <t>P2224</t>
  </si>
  <si>
    <t>Development of Footpaths and other Developmental works in Malleshwaram Constituency</t>
  </si>
  <si>
    <t>064-17-000001</t>
  </si>
  <si>
    <t>Construction of multipurpose building in parsi garden (beside ward office BBMP property in ward no-64</t>
  </si>
  <si>
    <t>Public Amenities</t>
  </si>
  <si>
    <t>Sri Umesh DK</t>
  </si>
  <si>
    <t>January</t>
  </si>
  <si>
    <t>064-18-000050</t>
  </si>
  <si>
    <t xml:space="preserve">Construction of Compound wall including preparation of site and providing grills and beautification works in Ward no 64 </t>
  </si>
  <si>
    <t>P3106</t>
  </si>
  <si>
    <t>Nagarothana Works</t>
  </si>
  <si>
    <t>Mecadez Core Technologies Private Ltd</t>
  </si>
  <si>
    <t>February</t>
  </si>
  <si>
    <t>064-18-000019</t>
  </si>
  <si>
    <t>Impovements woks in SC-ST peoples staying area AAN block in ward no-64</t>
  </si>
  <si>
    <t xml:space="preserve">Executive Engineer-2  M/s KRIDL BBMP(West)  </t>
  </si>
  <si>
    <t>P1878</t>
  </si>
  <si>
    <t>18per - Works (Bhagyajyothi, Sooru / Neeru Yojane and General) (54 Lakhs / New Wards)</t>
  </si>
  <si>
    <t>064-17-000049</t>
  </si>
  <si>
    <t>Repairs of Building and Construction of toilet and other allied works in Parsi garden BBMP School in ward no 64</t>
  </si>
  <si>
    <t>064-17-000024</t>
  </si>
  <si>
    <t>Improvements to drain and construction of new side drain and providing cover slabs at Mahalakshmi Temple road from LPO 8th cross road to 2nd main Vaiyalikaval road and surrounding areas in ward no 64</t>
  </si>
  <si>
    <t>P0190</t>
  </si>
  <si>
    <t>Works sanctioned by Hon Mayor</t>
  </si>
  <si>
    <t>064-17-000023</t>
  </si>
  <si>
    <t>Improvements to drain and construction of new side drain and providing cover slabs at Mahalakshmi Temple road from LPO 6th cross road to 8th cross road and surrounding areas in ward no 64</t>
  </si>
  <si>
    <t xml:space="preserve">Executive Engineer-2  M/s KRIDL BBMP(West)   </t>
  </si>
  <si>
    <t>064-17-000022</t>
  </si>
  <si>
    <t>Improvements to drain and construction of new side drain and providing cover slabs at Mahalakshmi Temple road from LPO 3rd cross road to 6th cross road and surrounding areas in ward no 64</t>
  </si>
  <si>
    <t>064-17-000021</t>
  </si>
  <si>
    <t>Improvements to drain and construction of new side drain and providing cover slabs at Mahalakshmi Temple road from Bellary road to LPO 3rd cross roads and surrounding areas in ward no 64</t>
  </si>
  <si>
    <t>064-17-000025</t>
  </si>
  <si>
    <t>Improvements to drain and construction of new side drain and providing cover slabs at NTI compound road in ward no 64</t>
  </si>
  <si>
    <t>064-17-000027</t>
  </si>
  <si>
    <t>Providing concrete to conservancy at V R Puram4th and 5th cross and surrounding area in ward no 64</t>
  </si>
  <si>
    <t>064-17-000026</t>
  </si>
  <si>
    <t>Providing concrete to conservancy at V R Puram 2nd and 3rd cross and surrounding area in ward no 64</t>
  </si>
  <si>
    <t>064-17-000031</t>
  </si>
  <si>
    <t>Providing drain and concreting to Conservancy at Kempanna brothers (parellel to 1st m ain P G Halli) area in ward no 64</t>
  </si>
  <si>
    <t>P2415</t>
  </si>
  <si>
    <t>Reserve fund for TandF Committee</t>
  </si>
  <si>
    <t>064-17-000030</t>
  </si>
  <si>
    <t>Providing concrete to Conservancy at D B Streets and surrounding area in ward no 64</t>
  </si>
  <si>
    <t>064-17-000003</t>
  </si>
  <si>
    <t>Improvements works to Sundarraj rangamantapa building premises in palace guttahalli 6th main in ward no-64</t>
  </si>
  <si>
    <t>L Nityananda Prabhu</t>
  </si>
  <si>
    <t>064-17-000058</t>
  </si>
  <si>
    <t>Engagement of Gangman and Hiring of Tractor Tippers for cleaning and Maintenance of road side drains and other cleaning works in works in ward no 64</t>
  </si>
  <si>
    <t xml:space="preserve">Sri Narasimhamurthy B M </t>
  </si>
  <si>
    <t>March</t>
  </si>
  <si>
    <t>064-17-000057</t>
  </si>
  <si>
    <t>Providing Modren Dust Bin in Bangalore City in ward no 64</t>
  </si>
  <si>
    <t>064-17-000032</t>
  </si>
  <si>
    <t>Construction of drain and Improvements to footpath in Vaiyalikaval second main road (first stretch) in ward no 64</t>
  </si>
  <si>
    <t>KRIDL</t>
  </si>
  <si>
    <t>064-17-000033</t>
  </si>
  <si>
    <t>Construction of drain and Improvements to footpath in Vaiyalikaval second main road (second stretch) in ward no 64</t>
  </si>
  <si>
    <t>064-17-000034</t>
  </si>
  <si>
    <t>Construction of drain and Improvements to footpath in Vaiyalikaval second main road (Third stretch) in ward no 64</t>
  </si>
  <si>
    <t>064-17-000028</t>
  </si>
  <si>
    <t>Providing concrete to conservancy at V R Puram6th and 7th cross and surrounding area in ward no 64</t>
  </si>
  <si>
    <t>064-17-000029</t>
  </si>
  <si>
    <t>Providing firm base and fencing to one side of Gallery in play ground and providing concrete to bad roads in ward no 64</t>
  </si>
  <si>
    <t>064-17-000015</t>
  </si>
  <si>
    <t>Providing C C cameras in ward jurdiction at ward no-64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</si>
</sst>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tabSelected="1" workbookViewId="0">
      <pane ySplit="1" topLeftCell="A2" activePane="bottomLeft" state="frozen"/>
      <selection activeCell="H1" sqref="H1"/>
      <selection pane="bottomLeft" activeCell="A2" sqref="A2:XFD55"/>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953</v>
      </c>
      <c r="B2" s="9" t="s">
        <v>33</v>
      </c>
      <c r="C2" s="10">
        <v>43229</v>
      </c>
      <c r="D2" s="11">
        <v>64</v>
      </c>
      <c r="E2" s="12" t="s">
        <v>34</v>
      </c>
      <c r="F2" s="12" t="s">
        <v>35</v>
      </c>
      <c r="G2" s="12" t="s">
        <v>35</v>
      </c>
      <c r="H2" s="12" t="s">
        <v>36</v>
      </c>
      <c r="I2" s="11" t="s">
        <v>37</v>
      </c>
      <c r="J2" s="12" t="s">
        <v>38</v>
      </c>
      <c r="K2" s="13" t="s">
        <v>39</v>
      </c>
      <c r="L2" s="11" t="str">
        <f>"000175"</f>
        <v>000175</v>
      </c>
      <c r="M2" s="10">
        <v>43124</v>
      </c>
      <c r="N2" s="11" t="str">
        <f>"000002"</f>
        <v>000002</v>
      </c>
      <c r="O2" s="10">
        <v>43195</v>
      </c>
      <c r="P2" s="11" t="str">
        <f>"000001"</f>
        <v>000001</v>
      </c>
      <c r="Q2" s="10">
        <v>43197</v>
      </c>
      <c r="R2" s="11">
        <v>17</v>
      </c>
      <c r="S2" s="11" t="str">
        <f>"001265"</f>
        <v>001265</v>
      </c>
      <c r="T2" s="10">
        <v>43228</v>
      </c>
      <c r="U2" s="14">
        <v>365.34885000000003</v>
      </c>
      <c r="V2" s="14">
        <v>21.024899999999999</v>
      </c>
      <c r="W2" s="14">
        <v>344.32395000000002</v>
      </c>
      <c r="X2" s="11">
        <v>43</v>
      </c>
      <c r="Y2" s="10">
        <v>43229</v>
      </c>
      <c r="Z2" s="11">
        <v>8022975610</v>
      </c>
      <c r="AA2" s="12" t="s">
        <v>40</v>
      </c>
      <c r="AB2" s="11" t="s">
        <v>41</v>
      </c>
      <c r="AC2" s="12" t="s">
        <v>42</v>
      </c>
      <c r="AD2" s="11" t="s">
        <v>43</v>
      </c>
      <c r="AE2" s="12" t="s">
        <v>44</v>
      </c>
      <c r="AF2" s="14">
        <v>3.6534885000000004</v>
      </c>
      <c r="AG2" s="11" t="s">
        <v>45</v>
      </c>
    </row>
    <row r="3" spans="1:33" x14ac:dyDescent="0.2">
      <c r="A3" s="8">
        <v>954</v>
      </c>
      <c r="B3" s="9" t="s">
        <v>33</v>
      </c>
      <c r="C3" s="10">
        <v>43229</v>
      </c>
      <c r="D3" s="11">
        <v>64</v>
      </c>
      <c r="E3" s="12" t="s">
        <v>34</v>
      </c>
      <c r="F3" s="12" t="s">
        <v>35</v>
      </c>
      <c r="G3" s="12" t="s">
        <v>35</v>
      </c>
      <c r="H3" s="12" t="s">
        <v>36</v>
      </c>
      <c r="I3" s="11" t="s">
        <v>46</v>
      </c>
      <c r="J3" s="12" t="s">
        <v>47</v>
      </c>
      <c r="K3" s="13" t="s">
        <v>48</v>
      </c>
      <c r="L3" s="11" t="str">
        <f>"000110"</f>
        <v>000110</v>
      </c>
      <c r="M3" s="10">
        <v>42797</v>
      </c>
      <c r="N3" s="11" t="str">
        <f>"000382"</f>
        <v>000382</v>
      </c>
      <c r="O3" s="10">
        <v>42824</v>
      </c>
      <c r="P3" s="11" t="str">
        <f>"000655"</f>
        <v>000655</v>
      </c>
      <c r="Q3" s="10">
        <v>42825</v>
      </c>
      <c r="R3" s="11">
        <v>17</v>
      </c>
      <c r="S3" s="11" t="str">
        <f>"001270"</f>
        <v>001270</v>
      </c>
      <c r="T3" s="10">
        <v>43228</v>
      </c>
      <c r="U3" s="14">
        <v>4.9649999999999999</v>
      </c>
      <c r="V3" s="14">
        <v>0.61560000000000004</v>
      </c>
      <c r="W3" s="14">
        <v>4.3494000000000002</v>
      </c>
      <c r="X3" s="11">
        <v>45</v>
      </c>
      <c r="Y3" s="10">
        <v>43229</v>
      </c>
      <c r="Z3" s="11">
        <v>8022975610</v>
      </c>
      <c r="AA3" s="12" t="s">
        <v>49</v>
      </c>
      <c r="AB3" s="11" t="s">
        <v>50</v>
      </c>
      <c r="AC3" s="12" t="s">
        <v>51</v>
      </c>
      <c r="AD3" s="11" t="s">
        <v>43</v>
      </c>
      <c r="AE3" s="12" t="s">
        <v>44</v>
      </c>
      <c r="AF3" s="14">
        <v>4.965E-2</v>
      </c>
      <c r="AG3" s="11" t="s">
        <v>52</v>
      </c>
    </row>
    <row r="4" spans="1:33" x14ac:dyDescent="0.2">
      <c r="A4" s="8">
        <v>955</v>
      </c>
      <c r="B4" s="9" t="s">
        <v>33</v>
      </c>
      <c r="C4" s="10">
        <v>43229</v>
      </c>
      <c r="D4" s="11">
        <v>64</v>
      </c>
      <c r="E4" s="12" t="s">
        <v>34</v>
      </c>
      <c r="F4" s="12" t="s">
        <v>35</v>
      </c>
      <c r="G4" s="12" t="s">
        <v>35</v>
      </c>
      <c r="H4" s="12" t="s">
        <v>36</v>
      </c>
      <c r="I4" s="11" t="s">
        <v>53</v>
      </c>
      <c r="J4" s="12" t="s">
        <v>54</v>
      </c>
      <c r="K4" s="13" t="s">
        <v>48</v>
      </c>
      <c r="L4" s="11" t="str">
        <f>"000109"</f>
        <v>000109</v>
      </c>
      <c r="M4" s="10">
        <v>42797</v>
      </c>
      <c r="N4" s="11" t="str">
        <f>"000383"</f>
        <v>000383</v>
      </c>
      <c r="O4" s="10">
        <v>42824</v>
      </c>
      <c r="P4" s="11" t="str">
        <f>"000656"</f>
        <v>000656</v>
      </c>
      <c r="Q4" s="10">
        <v>42825</v>
      </c>
      <c r="R4" s="11">
        <v>17</v>
      </c>
      <c r="S4" s="11" t="str">
        <f>"001272"</f>
        <v>001272</v>
      </c>
      <c r="T4" s="10">
        <v>43228</v>
      </c>
      <c r="U4" s="14">
        <v>4.9708500000000004</v>
      </c>
      <c r="V4" s="14">
        <v>0.61929999999999996</v>
      </c>
      <c r="W4" s="14">
        <v>4.3515499999999996</v>
      </c>
      <c r="X4" s="11">
        <v>45</v>
      </c>
      <c r="Y4" s="10">
        <v>43229</v>
      </c>
      <c r="Z4" s="11">
        <v>8022975610</v>
      </c>
      <c r="AA4" s="12" t="s">
        <v>49</v>
      </c>
      <c r="AB4" s="11" t="s">
        <v>50</v>
      </c>
      <c r="AC4" s="12" t="s">
        <v>51</v>
      </c>
      <c r="AD4" s="11" t="s">
        <v>43</v>
      </c>
      <c r="AE4" s="12" t="s">
        <v>44</v>
      </c>
      <c r="AF4" s="14">
        <v>4.9708500000000003E-2</v>
      </c>
      <c r="AG4" s="11" t="s">
        <v>52</v>
      </c>
    </row>
    <row r="5" spans="1:33" x14ac:dyDescent="0.2">
      <c r="A5" s="8">
        <v>956</v>
      </c>
      <c r="B5" s="9" t="s">
        <v>33</v>
      </c>
      <c r="C5" s="10">
        <v>43229</v>
      </c>
      <c r="D5" s="11">
        <v>64</v>
      </c>
      <c r="E5" s="12" t="s">
        <v>34</v>
      </c>
      <c r="F5" s="12" t="s">
        <v>35</v>
      </c>
      <c r="G5" s="12" t="s">
        <v>35</v>
      </c>
      <c r="H5" s="12" t="s">
        <v>36</v>
      </c>
      <c r="I5" s="11" t="s">
        <v>55</v>
      </c>
      <c r="J5" s="12" t="s">
        <v>56</v>
      </c>
      <c r="K5" s="13" t="s">
        <v>39</v>
      </c>
      <c r="L5" s="11" t="str">
        <f>"000133"</f>
        <v>000133</v>
      </c>
      <c r="M5" s="10">
        <v>42815</v>
      </c>
      <c r="N5" s="11" t="str">
        <f>"000013"</f>
        <v>000013</v>
      </c>
      <c r="O5" s="10">
        <v>42886</v>
      </c>
      <c r="P5" s="11" t="str">
        <f>"000047"</f>
        <v>000047</v>
      </c>
      <c r="Q5" s="10">
        <v>42886</v>
      </c>
      <c r="R5" s="11">
        <v>17</v>
      </c>
      <c r="S5" s="11" t="str">
        <f>"001274"</f>
        <v>001274</v>
      </c>
      <c r="T5" s="10">
        <v>43228</v>
      </c>
      <c r="U5" s="14">
        <v>14.3184</v>
      </c>
      <c r="V5" s="14">
        <v>1.0891</v>
      </c>
      <c r="W5" s="14">
        <v>13.2293</v>
      </c>
      <c r="X5" s="11">
        <v>45</v>
      </c>
      <c r="Y5" s="10">
        <v>43229</v>
      </c>
      <c r="Z5" s="11">
        <v>8022975610</v>
      </c>
      <c r="AA5" s="12" t="s">
        <v>57</v>
      </c>
      <c r="AB5" s="11" t="s">
        <v>50</v>
      </c>
      <c r="AC5" s="12" t="s">
        <v>51</v>
      </c>
      <c r="AD5" s="11" t="s">
        <v>43</v>
      </c>
      <c r="AE5" s="12" t="s">
        <v>44</v>
      </c>
      <c r="AF5" s="14">
        <v>0.14318400000000001</v>
      </c>
      <c r="AG5" s="11" t="s">
        <v>52</v>
      </c>
    </row>
    <row r="6" spans="1:33" x14ac:dyDescent="0.2">
      <c r="A6" s="8">
        <v>957</v>
      </c>
      <c r="B6" s="9" t="s">
        <v>33</v>
      </c>
      <c r="C6" s="10">
        <v>43229</v>
      </c>
      <c r="D6" s="11">
        <v>64</v>
      </c>
      <c r="E6" s="12" t="s">
        <v>34</v>
      </c>
      <c r="F6" s="12" t="s">
        <v>35</v>
      </c>
      <c r="G6" s="12" t="s">
        <v>35</v>
      </c>
      <c r="H6" s="12" t="s">
        <v>36</v>
      </c>
      <c r="I6" s="11" t="s">
        <v>37</v>
      </c>
      <c r="J6" s="12" t="s">
        <v>38</v>
      </c>
      <c r="K6" s="13" t="s">
        <v>39</v>
      </c>
      <c r="L6" s="11" t="str">
        <f>"000175"</f>
        <v>000175</v>
      </c>
      <c r="M6" s="10">
        <v>43124</v>
      </c>
      <c r="N6" s="11" t="str">
        <f>"000002"</f>
        <v>000002</v>
      </c>
      <c r="O6" s="10">
        <v>43195</v>
      </c>
      <c r="P6" s="11" t="str">
        <f>"000001"</f>
        <v>000001</v>
      </c>
      <c r="Q6" s="10">
        <v>43197</v>
      </c>
      <c r="R6" s="11">
        <v>17</v>
      </c>
      <c r="S6" s="11" t="str">
        <f>"001265"</f>
        <v>001265</v>
      </c>
      <c r="T6" s="10">
        <v>43228</v>
      </c>
      <c r="U6" s="14">
        <v>339.04025000000001</v>
      </c>
      <c r="V6" s="14">
        <v>19.393149999999999</v>
      </c>
      <c r="W6" s="14">
        <v>319.64710000000002</v>
      </c>
      <c r="X6" s="11">
        <v>47</v>
      </c>
      <c r="Y6" s="10">
        <v>43229</v>
      </c>
      <c r="Z6" s="11">
        <v>8022975610</v>
      </c>
      <c r="AA6" s="12" t="s">
        <v>40</v>
      </c>
      <c r="AB6" s="11" t="s">
        <v>41</v>
      </c>
      <c r="AC6" s="12" t="s">
        <v>42</v>
      </c>
      <c r="AD6" s="11" t="s">
        <v>43</v>
      </c>
      <c r="AE6" s="12" t="s">
        <v>44</v>
      </c>
      <c r="AF6" s="14">
        <v>3.3904025</v>
      </c>
      <c r="AG6" s="11" t="s">
        <v>45</v>
      </c>
    </row>
    <row r="7" spans="1:33" x14ac:dyDescent="0.2">
      <c r="A7" s="8">
        <v>2268</v>
      </c>
      <c r="B7" s="9" t="s">
        <v>58</v>
      </c>
      <c r="C7" s="10">
        <v>43269</v>
      </c>
      <c r="D7" s="11">
        <v>64</v>
      </c>
      <c r="E7" s="12" t="s">
        <v>34</v>
      </c>
      <c r="F7" s="12" t="s">
        <v>35</v>
      </c>
      <c r="G7" s="12" t="s">
        <v>35</v>
      </c>
      <c r="H7" s="12" t="s">
        <v>36</v>
      </c>
      <c r="I7" s="11" t="s">
        <v>59</v>
      </c>
      <c r="J7" s="12" t="s">
        <v>60</v>
      </c>
      <c r="K7" s="13" t="s">
        <v>48</v>
      </c>
      <c r="L7" s="11" t="str">
        <f>"000034"</f>
        <v>000034</v>
      </c>
      <c r="M7" s="10">
        <v>42399</v>
      </c>
      <c r="N7" s="11" t="str">
        <f>"000189"</f>
        <v>000189</v>
      </c>
      <c r="O7" s="10">
        <v>42642</v>
      </c>
      <c r="P7" s="11" t="str">
        <f>"000377"</f>
        <v>000377</v>
      </c>
      <c r="Q7" s="10">
        <v>42642</v>
      </c>
      <c r="R7" s="11">
        <v>16</v>
      </c>
      <c r="S7" s="11" t="str">
        <f>"002576"</f>
        <v>002576</v>
      </c>
      <c r="T7" s="10">
        <v>43265</v>
      </c>
      <c r="U7" s="14">
        <v>4.6997999999999998</v>
      </c>
      <c r="V7" s="14">
        <v>0.30980000000000002</v>
      </c>
      <c r="W7" s="14">
        <v>4.3899999999999997</v>
      </c>
      <c r="X7" s="11">
        <v>90</v>
      </c>
      <c r="Y7" s="10">
        <v>43269</v>
      </c>
      <c r="Z7" s="11">
        <v>8022975610</v>
      </c>
      <c r="AA7" s="12" t="s">
        <v>61</v>
      </c>
      <c r="AB7" s="11" t="s">
        <v>50</v>
      </c>
      <c r="AC7" s="12" t="s">
        <v>51</v>
      </c>
      <c r="AD7" s="11" t="s">
        <v>43</v>
      </c>
      <c r="AE7" s="12" t="s">
        <v>44</v>
      </c>
      <c r="AF7" s="14">
        <v>4.6997999999999998E-2</v>
      </c>
      <c r="AG7" s="11" t="s">
        <v>52</v>
      </c>
    </row>
    <row r="8" spans="1:33" x14ac:dyDescent="0.2">
      <c r="A8" s="8">
        <v>2531</v>
      </c>
      <c r="B8" s="9" t="s">
        <v>58</v>
      </c>
      <c r="C8" s="10">
        <v>43274</v>
      </c>
      <c r="D8" s="11">
        <v>64</v>
      </c>
      <c r="E8" s="12" t="s">
        <v>34</v>
      </c>
      <c r="F8" s="12" t="s">
        <v>35</v>
      </c>
      <c r="G8" s="12" t="s">
        <v>35</v>
      </c>
      <c r="H8" s="12" t="s">
        <v>36</v>
      </c>
      <c r="I8" s="11" t="s">
        <v>62</v>
      </c>
      <c r="J8" s="12" t="s">
        <v>63</v>
      </c>
      <c r="K8" s="13" t="s">
        <v>48</v>
      </c>
      <c r="L8" s="11" t="str">
        <f>"000045"</f>
        <v>000045</v>
      </c>
      <c r="M8" s="10">
        <v>42510</v>
      </c>
      <c r="N8" s="11" t="str">
        <f>"000196"</f>
        <v>000196</v>
      </c>
      <c r="O8" s="10">
        <v>42642</v>
      </c>
      <c r="P8" s="11" t="str">
        <f>"000384"</f>
        <v>000384</v>
      </c>
      <c r="Q8" s="10">
        <v>42643</v>
      </c>
      <c r="R8" s="11">
        <v>16</v>
      </c>
      <c r="S8" s="11" t="str">
        <f>"002628"</f>
        <v>002628</v>
      </c>
      <c r="T8" s="10">
        <v>43269</v>
      </c>
      <c r="U8" s="14">
        <v>9.7330000000000005</v>
      </c>
      <c r="V8" s="14">
        <v>1.2597499999999999</v>
      </c>
      <c r="W8" s="14">
        <v>8.4732500000000002</v>
      </c>
      <c r="X8" s="11">
        <v>99</v>
      </c>
      <c r="Y8" s="10">
        <v>43274</v>
      </c>
      <c r="Z8" s="11">
        <v>8022975610</v>
      </c>
      <c r="AA8" s="12" t="s">
        <v>64</v>
      </c>
      <c r="AB8" s="11" t="s">
        <v>50</v>
      </c>
      <c r="AC8" s="12" t="s">
        <v>51</v>
      </c>
      <c r="AD8" s="11" t="s">
        <v>43</v>
      </c>
      <c r="AE8" s="12" t="s">
        <v>44</v>
      </c>
      <c r="AF8" s="14">
        <v>9.733E-2</v>
      </c>
      <c r="AG8" s="11" t="s">
        <v>52</v>
      </c>
    </row>
    <row r="9" spans="1:33" x14ac:dyDescent="0.2">
      <c r="A9" s="8">
        <v>2532</v>
      </c>
      <c r="B9" s="9" t="s">
        <v>58</v>
      </c>
      <c r="C9" s="10">
        <v>43274</v>
      </c>
      <c r="D9" s="11">
        <v>64</v>
      </c>
      <c r="E9" s="12" t="s">
        <v>34</v>
      </c>
      <c r="F9" s="12" t="s">
        <v>35</v>
      </c>
      <c r="G9" s="12" t="s">
        <v>35</v>
      </c>
      <c r="H9" s="12" t="s">
        <v>36</v>
      </c>
      <c r="I9" s="11" t="s">
        <v>65</v>
      </c>
      <c r="J9" s="12" t="s">
        <v>66</v>
      </c>
      <c r="K9" s="13" t="s">
        <v>39</v>
      </c>
      <c r="L9" s="11" t="str">
        <f>"000038"</f>
        <v>000038</v>
      </c>
      <c r="M9" s="10">
        <v>42510</v>
      </c>
      <c r="N9" s="11" t="str">
        <f>"000197"</f>
        <v>000197</v>
      </c>
      <c r="O9" s="10">
        <v>42642</v>
      </c>
      <c r="P9" s="11" t="str">
        <f>"000393"</f>
        <v>000393</v>
      </c>
      <c r="Q9" s="10">
        <v>42671</v>
      </c>
      <c r="R9" s="11">
        <v>16</v>
      </c>
      <c r="S9" s="11" t="str">
        <f>"002864"</f>
        <v>002864</v>
      </c>
      <c r="T9" s="10">
        <v>43273</v>
      </c>
      <c r="U9" s="14">
        <v>8.3533500000000007</v>
      </c>
      <c r="V9" s="14">
        <v>0.62709999999999999</v>
      </c>
      <c r="W9" s="14">
        <v>7.7262500000000003</v>
      </c>
      <c r="X9" s="11">
        <v>99</v>
      </c>
      <c r="Y9" s="10">
        <v>43274</v>
      </c>
      <c r="Z9" s="11">
        <v>8022975610</v>
      </c>
      <c r="AA9" s="12" t="s">
        <v>67</v>
      </c>
      <c r="AB9" s="11" t="s">
        <v>50</v>
      </c>
      <c r="AC9" s="12" t="s">
        <v>51</v>
      </c>
      <c r="AD9" s="11" t="s">
        <v>43</v>
      </c>
      <c r="AE9" s="12" t="s">
        <v>44</v>
      </c>
      <c r="AF9" s="14">
        <v>8.3533500000000011E-2</v>
      </c>
      <c r="AG9" s="11" t="s">
        <v>52</v>
      </c>
    </row>
    <row r="10" spans="1:33" x14ac:dyDescent="0.2">
      <c r="A10" s="8">
        <v>2839</v>
      </c>
      <c r="B10" s="9" t="s">
        <v>68</v>
      </c>
      <c r="C10" s="10">
        <v>43283</v>
      </c>
      <c r="D10" s="11">
        <v>64</v>
      </c>
      <c r="E10" s="12" t="s">
        <v>34</v>
      </c>
      <c r="F10" s="12" t="s">
        <v>35</v>
      </c>
      <c r="G10" s="12" t="s">
        <v>35</v>
      </c>
      <c r="H10" s="12" t="s">
        <v>36</v>
      </c>
      <c r="I10" s="11" t="s">
        <v>69</v>
      </c>
      <c r="J10" s="12" t="s">
        <v>70</v>
      </c>
      <c r="K10" s="13" t="s">
        <v>71</v>
      </c>
      <c r="L10" s="11" t="str">
        <f>"000081"</f>
        <v>000081</v>
      </c>
      <c r="M10" s="10">
        <v>42429</v>
      </c>
      <c r="N10" s="11" t="str">
        <f>"000369"</f>
        <v>000369</v>
      </c>
      <c r="O10" s="10">
        <v>42793</v>
      </c>
      <c r="P10" s="11" t="str">
        <f>"000610"</f>
        <v>000610</v>
      </c>
      <c r="Q10" s="10">
        <v>42793</v>
      </c>
      <c r="R10" s="11">
        <v>16</v>
      </c>
      <c r="S10" s="11" t="str">
        <f>"003027"</f>
        <v>003027</v>
      </c>
      <c r="T10" s="10">
        <v>43277</v>
      </c>
      <c r="U10" s="14">
        <v>11.20185</v>
      </c>
      <c r="V10" s="14">
        <v>0.71699999999999997</v>
      </c>
      <c r="W10" s="14">
        <v>10.48485</v>
      </c>
      <c r="X10" s="11">
        <v>108</v>
      </c>
      <c r="Y10" s="10">
        <v>43283</v>
      </c>
      <c r="Z10" s="11">
        <v>8022975610</v>
      </c>
      <c r="AA10" s="12" t="s">
        <v>72</v>
      </c>
      <c r="AB10" s="11" t="s">
        <v>50</v>
      </c>
      <c r="AC10" s="12" t="s">
        <v>51</v>
      </c>
      <c r="AD10" s="11" t="s">
        <v>43</v>
      </c>
      <c r="AE10" s="12" t="s">
        <v>44</v>
      </c>
      <c r="AF10" s="14">
        <v>0.11201850000000001</v>
      </c>
      <c r="AG10" s="11" t="s">
        <v>52</v>
      </c>
    </row>
    <row r="11" spans="1:33" x14ac:dyDescent="0.2">
      <c r="A11" s="8">
        <v>3287</v>
      </c>
      <c r="B11" s="9" t="s">
        <v>68</v>
      </c>
      <c r="C11" s="10">
        <v>43297</v>
      </c>
      <c r="D11" s="11">
        <v>64</v>
      </c>
      <c r="E11" s="12" t="s">
        <v>34</v>
      </c>
      <c r="F11" s="12" t="s">
        <v>35</v>
      </c>
      <c r="G11" s="12" t="s">
        <v>35</v>
      </c>
      <c r="H11" s="12" t="s">
        <v>36</v>
      </c>
      <c r="I11" s="11" t="s">
        <v>73</v>
      </c>
      <c r="J11" s="12" t="s">
        <v>74</v>
      </c>
      <c r="K11" s="13" t="s">
        <v>75</v>
      </c>
      <c r="L11" s="11" t="str">
        <f>"000005"</f>
        <v>000005</v>
      </c>
      <c r="M11" s="10">
        <v>42488</v>
      </c>
      <c r="N11" s="11" t="str">
        <f>"000230"</f>
        <v>000230</v>
      </c>
      <c r="O11" s="10">
        <v>42734</v>
      </c>
      <c r="P11" s="11" t="str">
        <f>"000441"</f>
        <v>000441</v>
      </c>
      <c r="Q11" s="10">
        <v>42734</v>
      </c>
      <c r="R11" s="11">
        <v>16</v>
      </c>
      <c r="S11" s="11" t="str">
        <f>"003461"</f>
        <v>003461</v>
      </c>
      <c r="T11" s="10">
        <v>43291</v>
      </c>
      <c r="U11" s="14">
        <v>9.2662999999999993</v>
      </c>
      <c r="V11" s="14">
        <v>0.7258</v>
      </c>
      <c r="W11" s="14">
        <v>8.5404999999999998</v>
      </c>
      <c r="X11" s="11">
        <v>125</v>
      </c>
      <c r="Y11" s="10">
        <v>43297</v>
      </c>
      <c r="Z11" s="11">
        <v>8022975610</v>
      </c>
      <c r="AA11" s="12" t="s">
        <v>76</v>
      </c>
      <c r="AB11" s="11" t="s">
        <v>50</v>
      </c>
      <c r="AC11" s="12" t="s">
        <v>51</v>
      </c>
      <c r="AD11" s="11" t="s">
        <v>43</v>
      </c>
      <c r="AE11" s="12" t="s">
        <v>44</v>
      </c>
      <c r="AF11" s="14">
        <v>9.2662999999999995E-2</v>
      </c>
      <c r="AG11" s="11" t="s">
        <v>52</v>
      </c>
    </row>
    <row r="12" spans="1:33" x14ac:dyDescent="0.2">
      <c r="A12" s="8">
        <v>3288</v>
      </c>
      <c r="B12" s="9" t="s">
        <v>68</v>
      </c>
      <c r="C12" s="10">
        <v>43297</v>
      </c>
      <c r="D12" s="11">
        <v>64</v>
      </c>
      <c r="E12" s="12" t="s">
        <v>34</v>
      </c>
      <c r="F12" s="12" t="s">
        <v>35</v>
      </c>
      <c r="G12" s="12" t="s">
        <v>35</v>
      </c>
      <c r="H12" s="12" t="s">
        <v>36</v>
      </c>
      <c r="I12" s="11" t="s">
        <v>77</v>
      </c>
      <c r="J12" s="12" t="s">
        <v>78</v>
      </c>
      <c r="K12" s="13" t="s">
        <v>75</v>
      </c>
      <c r="L12" s="11" t="str">
        <f>"000019"</f>
        <v>000019</v>
      </c>
      <c r="M12" s="10">
        <v>42569</v>
      </c>
      <c r="N12" s="11" t="str">
        <f>"000231"</f>
        <v>000231</v>
      </c>
      <c r="O12" s="10">
        <v>42734</v>
      </c>
      <c r="P12" s="11" t="str">
        <f>"000442"</f>
        <v>000442</v>
      </c>
      <c r="Q12" s="10">
        <v>42734</v>
      </c>
      <c r="R12" s="11">
        <v>16</v>
      </c>
      <c r="S12" s="11" t="str">
        <f>"003531"</f>
        <v>003531</v>
      </c>
      <c r="T12" s="10">
        <v>43291</v>
      </c>
      <c r="U12" s="14">
        <v>17.792649999999998</v>
      </c>
      <c r="V12" s="14">
        <v>1.2718499999999999</v>
      </c>
      <c r="W12" s="14">
        <v>16.520800000000001</v>
      </c>
      <c r="X12" s="11">
        <v>125</v>
      </c>
      <c r="Y12" s="10">
        <v>43297</v>
      </c>
      <c r="Z12" s="11">
        <v>9900015678</v>
      </c>
      <c r="AA12" s="12" t="s">
        <v>79</v>
      </c>
      <c r="AB12" s="11" t="s">
        <v>50</v>
      </c>
      <c r="AC12" s="12" t="s">
        <v>51</v>
      </c>
      <c r="AD12" s="11" t="s">
        <v>43</v>
      </c>
      <c r="AE12" s="12" t="s">
        <v>44</v>
      </c>
      <c r="AF12" s="14">
        <v>0.17792649999999999</v>
      </c>
      <c r="AG12" s="11" t="s">
        <v>52</v>
      </c>
    </row>
    <row r="13" spans="1:33" x14ac:dyDescent="0.2">
      <c r="A13" s="8">
        <v>3489</v>
      </c>
      <c r="B13" s="9" t="s">
        <v>68</v>
      </c>
      <c r="C13" s="10">
        <v>43299</v>
      </c>
      <c r="D13" s="11">
        <v>64</v>
      </c>
      <c r="E13" s="12" t="s">
        <v>34</v>
      </c>
      <c r="F13" s="12" t="s">
        <v>35</v>
      </c>
      <c r="G13" s="12" t="s">
        <v>35</v>
      </c>
      <c r="H13" s="12" t="s">
        <v>36</v>
      </c>
      <c r="I13" s="11" t="s">
        <v>80</v>
      </c>
      <c r="J13" s="12" t="s">
        <v>81</v>
      </c>
      <c r="K13" s="13" t="s">
        <v>82</v>
      </c>
      <c r="L13" s="11" t="str">
        <f>"000116"</f>
        <v>000116</v>
      </c>
      <c r="M13" s="10">
        <v>42800</v>
      </c>
      <c r="N13" s="11" t="str">
        <f>"000003"</f>
        <v>000003</v>
      </c>
      <c r="O13" s="10">
        <v>42850</v>
      </c>
      <c r="P13" s="11" t="str">
        <f>"000021"</f>
        <v>000021</v>
      </c>
      <c r="Q13" s="10">
        <v>42853</v>
      </c>
      <c r="R13" s="11">
        <v>17</v>
      </c>
      <c r="S13" s="11" t="str">
        <f>"003789"</f>
        <v>003789</v>
      </c>
      <c r="T13" s="10">
        <v>43294</v>
      </c>
      <c r="U13" s="14">
        <v>9.4789999999999992</v>
      </c>
      <c r="V13" s="14">
        <v>0.73045000000000004</v>
      </c>
      <c r="W13" s="14">
        <v>8.7485499999999998</v>
      </c>
      <c r="X13" s="11">
        <v>129</v>
      </c>
      <c r="Y13" s="10">
        <v>43299</v>
      </c>
      <c r="Z13" s="11">
        <v>8022975610</v>
      </c>
      <c r="AA13" s="12" t="s">
        <v>83</v>
      </c>
      <c r="AB13" s="11" t="s">
        <v>50</v>
      </c>
      <c r="AC13" s="12" t="s">
        <v>51</v>
      </c>
      <c r="AD13" s="11" t="s">
        <v>43</v>
      </c>
      <c r="AE13" s="12" t="s">
        <v>44</v>
      </c>
      <c r="AF13" s="14">
        <v>9.4789999999999985E-2</v>
      </c>
      <c r="AG13" s="11" t="s">
        <v>52</v>
      </c>
    </row>
    <row r="14" spans="1:33" x14ac:dyDescent="0.2">
      <c r="A14" s="8">
        <v>3908</v>
      </c>
      <c r="B14" s="9" t="s">
        <v>68</v>
      </c>
      <c r="C14" s="10">
        <v>43305</v>
      </c>
      <c r="D14" s="11">
        <v>64</v>
      </c>
      <c r="E14" s="12" t="s">
        <v>34</v>
      </c>
      <c r="F14" s="12" t="s">
        <v>35</v>
      </c>
      <c r="G14" s="12" t="s">
        <v>35</v>
      </c>
      <c r="H14" s="12" t="s">
        <v>36</v>
      </c>
      <c r="I14" s="11" t="s">
        <v>84</v>
      </c>
      <c r="J14" s="12" t="s">
        <v>85</v>
      </c>
      <c r="K14" s="13" t="s">
        <v>48</v>
      </c>
      <c r="L14" s="11" t="str">
        <f>"000068"</f>
        <v>000068</v>
      </c>
      <c r="M14" s="10">
        <v>42734</v>
      </c>
      <c r="N14" s="11" t="str">
        <f>"000235"</f>
        <v>000235</v>
      </c>
      <c r="O14" s="10">
        <v>42734</v>
      </c>
      <c r="P14" s="11" t="str">
        <f>"000446"</f>
        <v>000446</v>
      </c>
      <c r="Q14" s="10">
        <v>42734</v>
      </c>
      <c r="R14" s="11">
        <v>17</v>
      </c>
      <c r="S14" s="11" t="str">
        <f>"004098"</f>
        <v>004098</v>
      </c>
      <c r="T14" s="10">
        <v>43301</v>
      </c>
      <c r="U14" s="14">
        <v>3.9895999999999998</v>
      </c>
      <c r="V14" s="14">
        <v>0.4929</v>
      </c>
      <c r="W14" s="14">
        <v>3.4967000000000001</v>
      </c>
      <c r="X14" s="11">
        <v>139</v>
      </c>
      <c r="Y14" s="10">
        <v>43305</v>
      </c>
      <c r="Z14" s="11">
        <v>8022975610</v>
      </c>
      <c r="AA14" s="12" t="s">
        <v>83</v>
      </c>
      <c r="AB14" s="11" t="s">
        <v>50</v>
      </c>
      <c r="AC14" s="12" t="s">
        <v>51</v>
      </c>
      <c r="AD14" s="11" t="s">
        <v>43</v>
      </c>
      <c r="AE14" s="12" t="s">
        <v>44</v>
      </c>
      <c r="AF14" s="14">
        <v>3.9896000000000001E-2</v>
      </c>
      <c r="AG14" s="11" t="s">
        <v>52</v>
      </c>
    </row>
    <row r="15" spans="1:33" x14ac:dyDescent="0.2">
      <c r="A15" s="8">
        <v>4276</v>
      </c>
      <c r="B15" s="9" t="s">
        <v>86</v>
      </c>
      <c r="C15" s="10">
        <v>43315</v>
      </c>
      <c r="D15" s="11">
        <v>64</v>
      </c>
      <c r="E15" s="12" t="s">
        <v>34</v>
      </c>
      <c r="F15" s="12" t="s">
        <v>35</v>
      </c>
      <c r="G15" s="12" t="s">
        <v>35</v>
      </c>
      <c r="H15" s="12" t="s">
        <v>36</v>
      </c>
      <c r="I15" s="11" t="s">
        <v>87</v>
      </c>
      <c r="J15" s="12" t="s">
        <v>88</v>
      </c>
      <c r="K15" s="13" t="s">
        <v>48</v>
      </c>
      <c r="L15" s="11" t="str">
        <f>"000067"</f>
        <v>000067</v>
      </c>
      <c r="M15" s="10">
        <v>42734</v>
      </c>
      <c r="N15" s="11" t="str">
        <f>"000295"</f>
        <v>000295</v>
      </c>
      <c r="O15" s="10">
        <v>42760</v>
      </c>
      <c r="P15" s="11" t="str">
        <f>"000511"</f>
        <v>000511</v>
      </c>
      <c r="Q15" s="10">
        <v>42766</v>
      </c>
      <c r="R15" s="11">
        <v>17</v>
      </c>
      <c r="S15" s="11" t="str">
        <f>"004501"</f>
        <v>004501</v>
      </c>
      <c r="T15" s="10">
        <v>43308</v>
      </c>
      <c r="U15" s="14">
        <v>3.9878</v>
      </c>
      <c r="V15" s="14">
        <v>0.49330000000000002</v>
      </c>
      <c r="W15" s="14">
        <v>3.4944999999999999</v>
      </c>
      <c r="X15" s="11">
        <v>152</v>
      </c>
      <c r="Y15" s="10">
        <v>43315</v>
      </c>
      <c r="Z15" s="11">
        <v>8022975610</v>
      </c>
      <c r="AA15" s="12" t="s">
        <v>89</v>
      </c>
      <c r="AB15" s="11" t="s">
        <v>50</v>
      </c>
      <c r="AC15" s="12" t="s">
        <v>51</v>
      </c>
      <c r="AD15" s="11" t="s">
        <v>43</v>
      </c>
      <c r="AE15" s="12" t="s">
        <v>44</v>
      </c>
      <c r="AF15" s="14">
        <v>3.9877999999999997E-2</v>
      </c>
      <c r="AG15" s="11" t="s">
        <v>52</v>
      </c>
    </row>
    <row r="16" spans="1:33" x14ac:dyDescent="0.2">
      <c r="A16" s="8">
        <v>4277</v>
      </c>
      <c r="B16" s="9" t="s">
        <v>86</v>
      </c>
      <c r="C16" s="10">
        <v>43315</v>
      </c>
      <c r="D16" s="11">
        <v>64</v>
      </c>
      <c r="E16" s="12" t="s">
        <v>34</v>
      </c>
      <c r="F16" s="12" t="s">
        <v>35</v>
      </c>
      <c r="G16" s="12" t="s">
        <v>35</v>
      </c>
      <c r="H16" s="12" t="s">
        <v>36</v>
      </c>
      <c r="I16" s="11" t="s">
        <v>90</v>
      </c>
      <c r="J16" s="12" t="s">
        <v>91</v>
      </c>
      <c r="K16" s="13" t="s">
        <v>39</v>
      </c>
      <c r="L16" s="11" t="str">
        <f>"000407"</f>
        <v>000407</v>
      </c>
      <c r="M16" s="10">
        <v>41333</v>
      </c>
      <c r="N16" s="11" t="str">
        <f>"000359"</f>
        <v>000359</v>
      </c>
      <c r="O16" s="10">
        <v>42760</v>
      </c>
      <c r="P16" s="11" t="str">
        <f>"000534"</f>
        <v>000534</v>
      </c>
      <c r="Q16" s="10">
        <v>42766</v>
      </c>
      <c r="R16" s="11">
        <v>13</v>
      </c>
      <c r="S16" s="11" t="str">
        <f>"004503"</f>
        <v>004503</v>
      </c>
      <c r="T16" s="10">
        <v>43308</v>
      </c>
      <c r="U16" s="14">
        <v>54.8889</v>
      </c>
      <c r="V16" s="14">
        <v>7.0377000000000001</v>
      </c>
      <c r="W16" s="14">
        <v>47.851199999999999</v>
      </c>
      <c r="X16" s="11">
        <v>152</v>
      </c>
      <c r="Y16" s="10">
        <v>43315</v>
      </c>
      <c r="Z16" s="11">
        <v>8022975610</v>
      </c>
      <c r="AA16" s="12" t="s">
        <v>92</v>
      </c>
      <c r="AB16" s="11" t="s">
        <v>93</v>
      </c>
      <c r="AC16" s="12" t="s">
        <v>94</v>
      </c>
      <c r="AD16" s="11" t="s">
        <v>43</v>
      </c>
      <c r="AE16" s="12" t="s">
        <v>44</v>
      </c>
      <c r="AF16" s="14">
        <v>0.54888899999999996</v>
      </c>
      <c r="AG16" s="11" t="s">
        <v>52</v>
      </c>
    </row>
    <row r="17" spans="1:33" x14ac:dyDescent="0.2">
      <c r="A17" s="8">
        <v>4442</v>
      </c>
      <c r="B17" s="9" t="s">
        <v>86</v>
      </c>
      <c r="C17" s="10">
        <v>43318</v>
      </c>
      <c r="D17" s="11">
        <v>64</v>
      </c>
      <c r="E17" s="12" t="s">
        <v>34</v>
      </c>
      <c r="F17" s="12" t="s">
        <v>35</v>
      </c>
      <c r="G17" s="12" t="s">
        <v>35</v>
      </c>
      <c r="H17" s="12" t="s">
        <v>36</v>
      </c>
      <c r="I17" s="11" t="s">
        <v>95</v>
      </c>
      <c r="J17" s="12" t="s">
        <v>96</v>
      </c>
      <c r="K17" s="13" t="s">
        <v>75</v>
      </c>
      <c r="L17" s="11" t="str">
        <f>"000034"</f>
        <v>000034</v>
      </c>
      <c r="M17" s="10">
        <v>42943</v>
      </c>
      <c r="N17" s="11" t="str">
        <f>"000116"</f>
        <v>000116</v>
      </c>
      <c r="O17" s="10">
        <v>43175</v>
      </c>
      <c r="P17" s="11" t="str">
        <f>"000144"</f>
        <v>000144</v>
      </c>
      <c r="Q17" s="10">
        <v>43175</v>
      </c>
      <c r="R17" s="11">
        <v>16</v>
      </c>
      <c r="S17" s="11" t="str">
        <f>"004608"</f>
        <v>004608</v>
      </c>
      <c r="T17" s="10">
        <v>43313</v>
      </c>
      <c r="U17" s="14">
        <v>7.6663100000000002</v>
      </c>
      <c r="V17" s="14">
        <v>0.39097999999999999</v>
      </c>
      <c r="W17" s="14">
        <v>7.2753300000000003</v>
      </c>
      <c r="X17" s="11">
        <v>157</v>
      </c>
      <c r="Y17" s="10">
        <v>43318</v>
      </c>
      <c r="Z17" s="11">
        <v>9886979350</v>
      </c>
      <c r="AA17" s="12" t="s">
        <v>97</v>
      </c>
      <c r="AB17" s="11" t="s">
        <v>98</v>
      </c>
      <c r="AC17" s="12" t="s">
        <v>99</v>
      </c>
      <c r="AD17" s="11" t="s">
        <v>100</v>
      </c>
      <c r="AE17" s="12" t="s">
        <v>101</v>
      </c>
      <c r="AF17" s="14">
        <v>7.6663099999999998E-2</v>
      </c>
      <c r="AG17" s="11" t="s">
        <v>52</v>
      </c>
    </row>
    <row r="18" spans="1:33" x14ac:dyDescent="0.2">
      <c r="A18" s="8">
        <v>4443</v>
      </c>
      <c r="B18" s="9" t="s">
        <v>86</v>
      </c>
      <c r="C18" s="10">
        <v>43318</v>
      </c>
      <c r="D18" s="11">
        <v>64</v>
      </c>
      <c r="E18" s="12" t="s">
        <v>34</v>
      </c>
      <c r="F18" s="12" t="s">
        <v>35</v>
      </c>
      <c r="G18" s="12" t="s">
        <v>35</v>
      </c>
      <c r="H18" s="12" t="s">
        <v>36</v>
      </c>
      <c r="I18" s="11" t="s">
        <v>84</v>
      </c>
      <c r="J18" s="12" t="s">
        <v>85</v>
      </c>
      <c r="K18" s="13" t="s">
        <v>48</v>
      </c>
      <c r="L18" s="11" t="str">
        <f>"000068"</f>
        <v>000068</v>
      </c>
      <c r="M18" s="10">
        <v>42734</v>
      </c>
      <c r="N18" s="11" t="str">
        <f>"000235"</f>
        <v>000235</v>
      </c>
      <c r="O18" s="10">
        <v>42734</v>
      </c>
      <c r="P18" s="11" t="str">
        <f>"000446"</f>
        <v>000446</v>
      </c>
      <c r="Q18" s="10">
        <v>42734</v>
      </c>
      <c r="R18" s="11">
        <v>17</v>
      </c>
      <c r="S18" s="11" t="str">
        <f>"004098"</f>
        <v>004098</v>
      </c>
      <c r="T18" s="10">
        <v>43301</v>
      </c>
      <c r="U18" s="14">
        <v>0.98035000000000005</v>
      </c>
      <c r="V18" s="14">
        <v>0.12025</v>
      </c>
      <c r="W18" s="14">
        <v>0.86009999999999998</v>
      </c>
      <c r="X18" s="11">
        <v>159</v>
      </c>
      <c r="Y18" s="10">
        <v>43318</v>
      </c>
      <c r="Z18" s="11">
        <v>8022975610</v>
      </c>
      <c r="AA18" s="12" t="s">
        <v>102</v>
      </c>
      <c r="AB18" s="11" t="s">
        <v>50</v>
      </c>
      <c r="AC18" s="12" t="s">
        <v>51</v>
      </c>
      <c r="AD18" s="11" t="s">
        <v>43</v>
      </c>
      <c r="AE18" s="12" t="s">
        <v>44</v>
      </c>
      <c r="AF18" s="14">
        <v>9.8034999999999997E-3</v>
      </c>
      <c r="AG18" s="11" t="s">
        <v>52</v>
      </c>
    </row>
    <row r="19" spans="1:33" x14ac:dyDescent="0.2">
      <c r="A19" s="8">
        <v>4444</v>
      </c>
      <c r="B19" s="9" t="s">
        <v>86</v>
      </c>
      <c r="C19" s="10">
        <v>43318</v>
      </c>
      <c r="D19" s="11">
        <v>64</v>
      </c>
      <c r="E19" s="12" t="s">
        <v>34</v>
      </c>
      <c r="F19" s="12" t="s">
        <v>35</v>
      </c>
      <c r="G19" s="12" t="s">
        <v>35</v>
      </c>
      <c r="H19" s="12" t="s">
        <v>36</v>
      </c>
      <c r="I19" s="11" t="s">
        <v>87</v>
      </c>
      <c r="J19" s="12" t="s">
        <v>88</v>
      </c>
      <c r="K19" s="13" t="s">
        <v>48</v>
      </c>
      <c r="L19" s="11" t="str">
        <f>"000067"</f>
        <v>000067</v>
      </c>
      <c r="M19" s="10">
        <v>42734</v>
      </c>
      <c r="N19" s="11" t="str">
        <f>"000295"</f>
        <v>000295</v>
      </c>
      <c r="O19" s="10">
        <v>42760</v>
      </c>
      <c r="P19" s="11" t="str">
        <f>"000511"</f>
        <v>000511</v>
      </c>
      <c r="Q19" s="10">
        <v>42766</v>
      </c>
      <c r="R19" s="11">
        <v>17</v>
      </c>
      <c r="S19" s="11" t="str">
        <f>"004501"</f>
        <v>004501</v>
      </c>
      <c r="T19" s="10">
        <v>43308</v>
      </c>
      <c r="U19" s="14">
        <v>0.98014999999999997</v>
      </c>
      <c r="V19" s="14">
        <v>0.12015000000000001</v>
      </c>
      <c r="W19" s="14">
        <v>0.86</v>
      </c>
      <c r="X19" s="11">
        <v>159</v>
      </c>
      <c r="Y19" s="10">
        <v>43318</v>
      </c>
      <c r="Z19" s="11">
        <v>8022975610</v>
      </c>
      <c r="AA19" s="12" t="s">
        <v>102</v>
      </c>
      <c r="AB19" s="11" t="s">
        <v>50</v>
      </c>
      <c r="AC19" s="12" t="s">
        <v>51</v>
      </c>
      <c r="AD19" s="11" t="s">
        <v>43</v>
      </c>
      <c r="AE19" s="12" t="s">
        <v>44</v>
      </c>
      <c r="AF19" s="14">
        <v>9.8014999999999994E-3</v>
      </c>
      <c r="AG19" s="11" t="s">
        <v>52</v>
      </c>
    </row>
    <row r="20" spans="1:33" x14ac:dyDescent="0.2">
      <c r="A20" s="8">
        <v>5225</v>
      </c>
      <c r="B20" s="9" t="s">
        <v>103</v>
      </c>
      <c r="C20" s="10">
        <v>43346</v>
      </c>
      <c r="D20" s="11">
        <v>64</v>
      </c>
      <c r="E20" s="12" t="s">
        <v>34</v>
      </c>
      <c r="F20" s="12" t="s">
        <v>35</v>
      </c>
      <c r="G20" s="12" t="s">
        <v>35</v>
      </c>
      <c r="H20" s="12" t="s">
        <v>36</v>
      </c>
      <c r="I20" s="11" t="s">
        <v>104</v>
      </c>
      <c r="J20" s="12" t="s">
        <v>105</v>
      </c>
      <c r="K20" s="13" t="s">
        <v>106</v>
      </c>
      <c r="L20" s="11" t="str">
        <f>"000102"</f>
        <v>000102</v>
      </c>
      <c r="M20" s="10">
        <v>43256</v>
      </c>
      <c r="N20" s="11" t="str">
        <f>"000016"</f>
        <v>000016</v>
      </c>
      <c r="O20" s="10">
        <v>43262</v>
      </c>
      <c r="P20" s="11" t="str">
        <f>"000131"</f>
        <v>000131</v>
      </c>
      <c r="Q20" s="10">
        <v>43321</v>
      </c>
      <c r="R20" s="11">
        <v>17</v>
      </c>
      <c r="S20" s="11" t="str">
        <f>"005576"</f>
        <v>005576</v>
      </c>
      <c r="T20" s="10">
        <v>43343</v>
      </c>
      <c r="U20" s="14">
        <v>12.2544</v>
      </c>
      <c r="V20" s="14">
        <v>1.0950500000000001</v>
      </c>
      <c r="W20" s="14">
        <v>11.15935</v>
      </c>
      <c r="X20" s="11">
        <v>186</v>
      </c>
      <c r="Y20" s="10">
        <v>43346</v>
      </c>
      <c r="Z20" s="11">
        <v>8022975610</v>
      </c>
      <c r="AA20" s="12" t="s">
        <v>107</v>
      </c>
      <c r="AB20" s="11" t="s">
        <v>108</v>
      </c>
      <c r="AC20" s="12" t="s">
        <v>109</v>
      </c>
      <c r="AD20" s="11" t="s">
        <v>43</v>
      </c>
      <c r="AE20" s="12" t="s">
        <v>44</v>
      </c>
      <c r="AF20" s="14">
        <f t="shared" ref="AF20:AF55" si="0">U20/100</f>
        <v>0.122544</v>
      </c>
      <c r="AG20" s="11" t="s">
        <v>110</v>
      </c>
    </row>
    <row r="21" spans="1:33" x14ac:dyDescent="0.2">
      <c r="A21" s="8">
        <v>5226</v>
      </c>
      <c r="B21" s="9" t="s">
        <v>103</v>
      </c>
      <c r="C21" s="10">
        <v>43346</v>
      </c>
      <c r="D21" s="11">
        <v>64</v>
      </c>
      <c r="E21" s="12" t="s">
        <v>34</v>
      </c>
      <c r="F21" s="12" t="s">
        <v>35</v>
      </c>
      <c r="G21" s="12" t="s">
        <v>35</v>
      </c>
      <c r="H21" s="12" t="s">
        <v>36</v>
      </c>
      <c r="I21" s="11" t="s">
        <v>111</v>
      </c>
      <c r="J21" s="12" t="s">
        <v>112</v>
      </c>
      <c r="K21" s="13" t="s">
        <v>71</v>
      </c>
      <c r="L21" s="11" t="str">
        <f>"000103"</f>
        <v>000103</v>
      </c>
      <c r="M21" s="10">
        <v>43256</v>
      </c>
      <c r="N21" s="11" t="str">
        <f>"000015"</f>
        <v>000015</v>
      </c>
      <c r="O21" s="10">
        <v>43262</v>
      </c>
      <c r="P21" s="11" t="str">
        <f>"000111"</f>
        <v>000111</v>
      </c>
      <c r="Q21" s="10">
        <v>43288</v>
      </c>
      <c r="R21" s="11">
        <v>17</v>
      </c>
      <c r="S21" s="11" t="str">
        <f>"005577"</f>
        <v>005577</v>
      </c>
      <c r="T21" s="10">
        <v>43343</v>
      </c>
      <c r="U21" s="14">
        <v>9.2119</v>
      </c>
      <c r="V21" s="14">
        <v>0.82215000000000005</v>
      </c>
      <c r="W21" s="14">
        <v>8.3897499999999994</v>
      </c>
      <c r="X21" s="11">
        <v>186</v>
      </c>
      <c r="Y21" s="10">
        <v>43346</v>
      </c>
      <c r="Z21" s="11">
        <v>8022975610</v>
      </c>
      <c r="AA21" s="12" t="s">
        <v>107</v>
      </c>
      <c r="AB21" s="11" t="s">
        <v>108</v>
      </c>
      <c r="AC21" s="12" t="s">
        <v>109</v>
      </c>
      <c r="AD21" s="11" t="s">
        <v>43</v>
      </c>
      <c r="AE21" s="12" t="s">
        <v>44</v>
      </c>
      <c r="AF21" s="14">
        <f t="shared" si="0"/>
        <v>9.2119000000000006E-2</v>
      </c>
      <c r="AG21" s="11" t="s">
        <v>110</v>
      </c>
    </row>
    <row r="22" spans="1:33" x14ac:dyDescent="0.2">
      <c r="A22" s="8">
        <v>5227</v>
      </c>
      <c r="B22" s="9" t="s">
        <v>103</v>
      </c>
      <c r="C22" s="10">
        <v>43346</v>
      </c>
      <c r="D22" s="11">
        <v>64</v>
      </c>
      <c r="E22" s="12" t="s">
        <v>34</v>
      </c>
      <c r="F22" s="12" t="s">
        <v>35</v>
      </c>
      <c r="G22" s="12" t="s">
        <v>35</v>
      </c>
      <c r="H22" s="12" t="s">
        <v>36</v>
      </c>
      <c r="I22" s="11" t="s">
        <v>113</v>
      </c>
      <c r="J22" s="12" t="s">
        <v>114</v>
      </c>
      <c r="K22" s="13" t="s">
        <v>48</v>
      </c>
      <c r="L22" s="11" t="str">
        <f>"000004"</f>
        <v>000004</v>
      </c>
      <c r="M22" s="10">
        <v>42946</v>
      </c>
      <c r="N22" s="11" t="str">
        <f>"000007"</f>
        <v>000007</v>
      </c>
      <c r="O22" s="10">
        <v>43014</v>
      </c>
      <c r="P22" s="11" t="str">
        <f>"000023"</f>
        <v>000023</v>
      </c>
      <c r="Q22" s="10">
        <v>43039</v>
      </c>
      <c r="R22" s="11">
        <v>17</v>
      </c>
      <c r="S22" s="11" t="str">
        <f>"005664"</f>
        <v>005664</v>
      </c>
      <c r="T22" s="10">
        <v>43350</v>
      </c>
      <c r="U22" s="14">
        <v>0.28029999999999999</v>
      </c>
      <c r="V22" s="14">
        <v>9.3500000000000007E-3</v>
      </c>
      <c r="W22" s="14">
        <v>0.27095000000000002</v>
      </c>
      <c r="X22" s="11">
        <v>191</v>
      </c>
      <c r="Y22" s="10">
        <v>43346</v>
      </c>
      <c r="Z22" s="11">
        <v>9035081899</v>
      </c>
      <c r="AA22" s="12" t="s">
        <v>115</v>
      </c>
      <c r="AB22" s="11" t="s">
        <v>50</v>
      </c>
      <c r="AC22" s="12" t="s">
        <v>51</v>
      </c>
      <c r="AD22" s="11" t="s">
        <v>43</v>
      </c>
      <c r="AE22" s="12" t="s">
        <v>44</v>
      </c>
      <c r="AF22" s="14">
        <f t="shared" si="0"/>
        <v>2.8029999999999999E-3</v>
      </c>
      <c r="AG22" s="11" t="s">
        <v>52</v>
      </c>
    </row>
    <row r="23" spans="1:33" x14ac:dyDescent="0.2">
      <c r="A23" s="8">
        <v>5228</v>
      </c>
      <c r="B23" s="9" t="s">
        <v>103</v>
      </c>
      <c r="C23" s="10">
        <v>43346</v>
      </c>
      <c r="D23" s="11">
        <v>64</v>
      </c>
      <c r="E23" s="12" t="s">
        <v>34</v>
      </c>
      <c r="F23" s="12" t="s">
        <v>35</v>
      </c>
      <c r="G23" s="12" t="s">
        <v>35</v>
      </c>
      <c r="H23" s="12" t="s">
        <v>36</v>
      </c>
      <c r="I23" s="11" t="s">
        <v>116</v>
      </c>
      <c r="J23" s="12" t="s">
        <v>117</v>
      </c>
      <c r="K23" s="13" t="s">
        <v>39</v>
      </c>
      <c r="L23" s="11" t="str">
        <f>"000083"</f>
        <v>000083</v>
      </c>
      <c r="M23" s="10">
        <v>40718</v>
      </c>
      <c r="N23" s="11" t="str">
        <f>"000381"</f>
        <v>000381</v>
      </c>
      <c r="O23" s="10">
        <v>42824</v>
      </c>
      <c r="P23" s="11" t="str">
        <f>"000650"</f>
        <v>000650</v>
      </c>
      <c r="Q23" s="10">
        <v>42825</v>
      </c>
      <c r="R23" s="11">
        <v>11</v>
      </c>
      <c r="S23" s="11" t="str">
        <f>"005316"</f>
        <v>005316</v>
      </c>
      <c r="T23" s="10">
        <v>43333</v>
      </c>
      <c r="U23" s="14">
        <v>10.4758</v>
      </c>
      <c r="V23" s="14">
        <v>1.3625</v>
      </c>
      <c r="W23" s="14">
        <v>9.1133000000000006</v>
      </c>
      <c r="X23" s="11">
        <v>193</v>
      </c>
      <c r="Y23" s="10">
        <v>43346</v>
      </c>
      <c r="Z23" s="11">
        <v>8022975610</v>
      </c>
      <c r="AA23" s="12" t="s">
        <v>118</v>
      </c>
      <c r="AB23" s="11" t="s">
        <v>119</v>
      </c>
      <c r="AC23" s="12" t="s">
        <v>120</v>
      </c>
      <c r="AD23" s="11" t="s">
        <v>43</v>
      </c>
      <c r="AE23" s="12" t="s">
        <v>44</v>
      </c>
      <c r="AF23" s="14">
        <f t="shared" si="0"/>
        <v>0.10475799999999999</v>
      </c>
      <c r="AG23" s="11" t="s">
        <v>52</v>
      </c>
    </row>
    <row r="24" spans="1:33" x14ac:dyDescent="0.2">
      <c r="A24" s="8">
        <v>5459</v>
      </c>
      <c r="B24" s="9" t="s">
        <v>103</v>
      </c>
      <c r="C24" s="10">
        <v>43357</v>
      </c>
      <c r="D24" s="11">
        <v>64</v>
      </c>
      <c r="E24" s="12" t="s">
        <v>34</v>
      </c>
      <c r="F24" s="12" t="s">
        <v>35</v>
      </c>
      <c r="G24" s="12" t="s">
        <v>35</v>
      </c>
      <c r="H24" s="12" t="s">
        <v>36</v>
      </c>
      <c r="I24" s="11" t="s">
        <v>121</v>
      </c>
      <c r="J24" s="12" t="s">
        <v>122</v>
      </c>
      <c r="K24" s="13" t="s">
        <v>82</v>
      </c>
      <c r="L24" s="11" t="str">
        <f>"000076"</f>
        <v>000076</v>
      </c>
      <c r="M24" s="10">
        <v>42913</v>
      </c>
      <c r="N24" s="11" t="str">
        <f>"000050"</f>
        <v>000050</v>
      </c>
      <c r="O24" s="10">
        <v>42916</v>
      </c>
      <c r="P24" s="11" t="str">
        <f>"000098"</f>
        <v>000098</v>
      </c>
      <c r="Q24" s="10">
        <v>42916</v>
      </c>
      <c r="R24" s="11">
        <v>17</v>
      </c>
      <c r="S24" s="11" t="str">
        <f>"005641"</f>
        <v>005641</v>
      </c>
      <c r="T24" s="10">
        <v>43349</v>
      </c>
      <c r="U24" s="14">
        <v>14.8505</v>
      </c>
      <c r="V24" s="14">
        <v>0.96250000000000002</v>
      </c>
      <c r="W24" s="14">
        <v>13.888</v>
      </c>
      <c r="X24" s="11">
        <v>203</v>
      </c>
      <c r="Y24" s="10">
        <v>43357</v>
      </c>
      <c r="Z24" s="11">
        <v>8022975610</v>
      </c>
      <c r="AA24" s="12" t="s">
        <v>123</v>
      </c>
      <c r="AB24" s="11" t="s">
        <v>50</v>
      </c>
      <c r="AC24" s="12" t="s">
        <v>51</v>
      </c>
      <c r="AD24" s="11" t="s">
        <v>43</v>
      </c>
      <c r="AE24" s="12" t="s">
        <v>44</v>
      </c>
      <c r="AF24" s="14">
        <f t="shared" si="0"/>
        <v>0.148505</v>
      </c>
      <c r="AG24" s="11" t="s">
        <v>52</v>
      </c>
    </row>
    <row r="25" spans="1:33" x14ac:dyDescent="0.2">
      <c r="A25" s="8">
        <v>5460</v>
      </c>
      <c r="B25" s="9" t="s">
        <v>103</v>
      </c>
      <c r="C25" s="10">
        <v>43357</v>
      </c>
      <c r="D25" s="11">
        <v>64</v>
      </c>
      <c r="E25" s="12" t="s">
        <v>34</v>
      </c>
      <c r="F25" s="12" t="s">
        <v>35</v>
      </c>
      <c r="G25" s="12" t="s">
        <v>35</v>
      </c>
      <c r="H25" s="12" t="s">
        <v>36</v>
      </c>
      <c r="I25" s="11" t="s">
        <v>113</v>
      </c>
      <c r="J25" s="12" t="s">
        <v>114</v>
      </c>
      <c r="K25" s="13" t="s">
        <v>48</v>
      </c>
      <c r="L25" s="11" t="str">
        <f>"000004"</f>
        <v>000004</v>
      </c>
      <c r="M25" s="10">
        <v>42946</v>
      </c>
      <c r="N25" s="11" t="str">
        <f>"000007"</f>
        <v>000007</v>
      </c>
      <c r="O25" s="10">
        <v>43014</v>
      </c>
      <c r="P25" s="11" t="str">
        <f>"000023"</f>
        <v>000023</v>
      </c>
      <c r="Q25" s="10">
        <v>43039</v>
      </c>
      <c r="R25" s="11">
        <v>17</v>
      </c>
      <c r="S25" s="11" t="str">
        <f>"005664"</f>
        <v>005664</v>
      </c>
      <c r="T25" s="10">
        <v>43350</v>
      </c>
      <c r="U25" s="14">
        <v>7.9325000000000001</v>
      </c>
      <c r="V25" s="14">
        <v>0.38109999999999999</v>
      </c>
      <c r="W25" s="14">
        <v>7.5514000000000001</v>
      </c>
      <c r="X25" s="11">
        <v>204</v>
      </c>
      <c r="Y25" s="10">
        <v>43357</v>
      </c>
      <c r="Z25" s="11">
        <v>8022975610</v>
      </c>
      <c r="AA25" s="12" t="s">
        <v>124</v>
      </c>
      <c r="AB25" s="11" t="s">
        <v>50</v>
      </c>
      <c r="AC25" s="12" t="s">
        <v>51</v>
      </c>
      <c r="AD25" s="11" t="s">
        <v>43</v>
      </c>
      <c r="AE25" s="12" t="s">
        <v>44</v>
      </c>
      <c r="AF25" s="14">
        <f t="shared" si="0"/>
        <v>7.9325000000000007E-2</v>
      </c>
      <c r="AG25" s="11" t="s">
        <v>52</v>
      </c>
    </row>
    <row r="26" spans="1:33" x14ac:dyDescent="0.2">
      <c r="A26" s="8">
        <v>6062</v>
      </c>
      <c r="B26" s="9" t="s">
        <v>125</v>
      </c>
      <c r="C26" s="10">
        <v>43385</v>
      </c>
      <c r="D26" s="11">
        <v>64</v>
      </c>
      <c r="E26" s="12" t="s">
        <v>34</v>
      </c>
      <c r="F26" s="12" t="s">
        <v>35</v>
      </c>
      <c r="G26" s="12" t="s">
        <v>35</v>
      </c>
      <c r="H26" s="12" t="s">
        <v>36</v>
      </c>
      <c r="I26" s="11" t="s">
        <v>126</v>
      </c>
      <c r="J26" s="12" t="s">
        <v>127</v>
      </c>
      <c r="K26" s="13" t="s">
        <v>48</v>
      </c>
      <c r="L26" s="11" t="str">
        <f>"000117"</f>
        <v>000117</v>
      </c>
      <c r="M26" s="10">
        <v>42800</v>
      </c>
      <c r="N26" s="11" t="str">
        <f>"000004"</f>
        <v>000004</v>
      </c>
      <c r="O26" s="10">
        <v>42850</v>
      </c>
      <c r="P26" s="11" t="str">
        <f>"000022"</f>
        <v>000022</v>
      </c>
      <c r="Q26" s="10">
        <v>42853</v>
      </c>
      <c r="R26" s="11">
        <v>17</v>
      </c>
      <c r="S26" s="11" t="str">
        <f>"006011"</f>
        <v>006011</v>
      </c>
      <c r="T26" s="10">
        <v>43374</v>
      </c>
      <c r="U26" s="14">
        <v>2.50095</v>
      </c>
      <c r="V26" s="14">
        <v>0.16514999999999999</v>
      </c>
      <c r="W26" s="14">
        <v>2.3357999999999999</v>
      </c>
      <c r="X26" s="11">
        <v>230</v>
      </c>
      <c r="Y26" s="10">
        <v>43385</v>
      </c>
      <c r="Z26" s="11">
        <v>8022975610</v>
      </c>
      <c r="AA26" s="12" t="s">
        <v>83</v>
      </c>
      <c r="AB26" s="11" t="s">
        <v>50</v>
      </c>
      <c r="AC26" s="12" t="s">
        <v>51</v>
      </c>
      <c r="AD26" s="11" t="s">
        <v>43</v>
      </c>
      <c r="AE26" s="12" t="s">
        <v>44</v>
      </c>
      <c r="AF26" s="14">
        <f t="shared" si="0"/>
        <v>2.50095E-2</v>
      </c>
      <c r="AG26" s="11" t="s">
        <v>52</v>
      </c>
    </row>
    <row r="27" spans="1:33" x14ac:dyDescent="0.2">
      <c r="A27" s="8">
        <v>6063</v>
      </c>
      <c r="B27" s="9" t="s">
        <v>125</v>
      </c>
      <c r="C27" s="10">
        <v>43385</v>
      </c>
      <c r="D27" s="11">
        <v>64</v>
      </c>
      <c r="E27" s="12" t="s">
        <v>34</v>
      </c>
      <c r="F27" s="12" t="s">
        <v>35</v>
      </c>
      <c r="G27" s="12" t="s">
        <v>35</v>
      </c>
      <c r="H27" s="12" t="s">
        <v>36</v>
      </c>
      <c r="I27" s="11" t="s">
        <v>128</v>
      </c>
      <c r="J27" s="12" t="s">
        <v>129</v>
      </c>
      <c r="K27" s="13" t="s">
        <v>48</v>
      </c>
      <c r="L27" s="11" t="str">
        <f>"000459"</f>
        <v>000459</v>
      </c>
      <c r="M27" s="10">
        <v>41346</v>
      </c>
      <c r="N27" s="11" t="str">
        <f>"000206"</f>
        <v>000206</v>
      </c>
      <c r="O27" s="10">
        <v>41726</v>
      </c>
      <c r="P27" s="11" t="str">
        <f>"000379"</f>
        <v>000379</v>
      </c>
      <c r="Q27" s="10">
        <v>41727</v>
      </c>
      <c r="R27" s="11">
        <v>13</v>
      </c>
      <c r="S27" s="11" t="str">
        <f>"006079"</f>
        <v>006079</v>
      </c>
      <c r="T27" s="10">
        <v>43374</v>
      </c>
      <c r="U27" s="14">
        <v>2.4918499999999999</v>
      </c>
      <c r="V27" s="14">
        <v>0.31045</v>
      </c>
      <c r="W27" s="14">
        <v>2.1814</v>
      </c>
      <c r="X27" s="11">
        <v>231</v>
      </c>
      <c r="Y27" s="10">
        <v>43385</v>
      </c>
      <c r="Z27" s="11">
        <v>8022975610</v>
      </c>
      <c r="AA27" s="12" t="s">
        <v>130</v>
      </c>
      <c r="AB27" s="11" t="s">
        <v>50</v>
      </c>
      <c r="AC27" s="12" t="s">
        <v>51</v>
      </c>
      <c r="AD27" s="11" t="s">
        <v>43</v>
      </c>
      <c r="AE27" s="12" t="s">
        <v>44</v>
      </c>
      <c r="AF27" s="14">
        <f t="shared" si="0"/>
        <v>2.49185E-2</v>
      </c>
      <c r="AG27" s="11" t="s">
        <v>52</v>
      </c>
    </row>
    <row r="28" spans="1:33" x14ac:dyDescent="0.2">
      <c r="A28" s="8">
        <v>6064</v>
      </c>
      <c r="B28" s="9" t="s">
        <v>125</v>
      </c>
      <c r="C28" s="10">
        <v>43385</v>
      </c>
      <c r="D28" s="11">
        <v>64</v>
      </c>
      <c r="E28" s="12" t="s">
        <v>34</v>
      </c>
      <c r="F28" s="12" t="s">
        <v>35</v>
      </c>
      <c r="G28" s="12" t="s">
        <v>35</v>
      </c>
      <c r="H28" s="12" t="s">
        <v>36</v>
      </c>
      <c r="I28" s="11" t="s">
        <v>37</v>
      </c>
      <c r="J28" s="12" t="s">
        <v>38</v>
      </c>
      <c r="K28" s="13" t="s">
        <v>75</v>
      </c>
      <c r="L28" s="11" t="str">
        <f>"000175"</f>
        <v>000175</v>
      </c>
      <c r="M28" s="10">
        <v>43124</v>
      </c>
      <c r="N28" s="11" t="str">
        <f>"000088"</f>
        <v>000088</v>
      </c>
      <c r="O28" s="10">
        <v>43183</v>
      </c>
      <c r="P28" s="11" t="str">
        <f>"000137"</f>
        <v>000137</v>
      </c>
      <c r="Q28" s="10">
        <v>43186</v>
      </c>
      <c r="R28" s="11">
        <v>17</v>
      </c>
      <c r="S28" s="11" t="str">
        <f>"001153"</f>
        <v>001153</v>
      </c>
      <c r="T28" s="10">
        <v>43228</v>
      </c>
      <c r="U28" s="14">
        <v>30.758849999999999</v>
      </c>
      <c r="V28" s="14">
        <v>1.1230500000000001</v>
      </c>
      <c r="W28" s="14">
        <v>29.6358</v>
      </c>
      <c r="X28" s="11">
        <v>233</v>
      </c>
      <c r="Y28" s="10">
        <v>43385</v>
      </c>
      <c r="Z28" s="11">
        <v>8022975610</v>
      </c>
      <c r="AA28" s="12" t="s">
        <v>40</v>
      </c>
      <c r="AB28" s="11" t="s">
        <v>41</v>
      </c>
      <c r="AC28" s="12" t="s">
        <v>42</v>
      </c>
      <c r="AD28" s="11" t="s">
        <v>43</v>
      </c>
      <c r="AE28" s="12" t="s">
        <v>44</v>
      </c>
      <c r="AF28" s="14">
        <f t="shared" si="0"/>
        <v>0.30758849999999999</v>
      </c>
      <c r="AG28" s="11" t="s">
        <v>52</v>
      </c>
    </row>
    <row r="29" spans="1:33" x14ac:dyDescent="0.2">
      <c r="A29" s="8">
        <v>6744</v>
      </c>
      <c r="B29" s="9" t="s">
        <v>125</v>
      </c>
      <c r="C29" s="10">
        <v>43390</v>
      </c>
      <c r="D29" s="11">
        <v>64</v>
      </c>
      <c r="E29" s="12" t="s">
        <v>34</v>
      </c>
      <c r="F29" s="12" t="s">
        <v>35</v>
      </c>
      <c r="G29" s="12" t="s">
        <v>35</v>
      </c>
      <c r="H29" s="12" t="s">
        <v>36</v>
      </c>
      <c r="I29" s="11" t="s">
        <v>131</v>
      </c>
      <c r="J29" s="12" t="s">
        <v>132</v>
      </c>
      <c r="K29" s="13" t="s">
        <v>133</v>
      </c>
      <c r="L29" s="11" t="str">
        <f>"000267"</f>
        <v>000267</v>
      </c>
      <c r="M29" s="10">
        <v>43331</v>
      </c>
      <c r="N29" s="11" t="str">
        <f>"000043"</f>
        <v>000043</v>
      </c>
      <c r="O29" s="10">
        <v>43342</v>
      </c>
      <c r="P29" s="11" t="str">
        <f>"000156"</f>
        <v>000156</v>
      </c>
      <c r="Q29" s="10">
        <v>43362</v>
      </c>
      <c r="R29" s="11">
        <v>17</v>
      </c>
      <c r="S29" s="11" t="str">
        <f>"006814"</f>
        <v>006814</v>
      </c>
      <c r="T29" s="10">
        <v>43389</v>
      </c>
      <c r="U29" s="14">
        <v>8.97105</v>
      </c>
      <c r="V29" s="14">
        <v>0.40505000000000002</v>
      </c>
      <c r="W29" s="14">
        <v>8.5660000000000007</v>
      </c>
      <c r="X29" s="11">
        <v>245</v>
      </c>
      <c r="Y29" s="10">
        <v>43390</v>
      </c>
      <c r="Z29" s="11">
        <v>8022975610</v>
      </c>
      <c r="AA29" s="12" t="s">
        <v>134</v>
      </c>
      <c r="AB29" s="11" t="s">
        <v>108</v>
      </c>
      <c r="AC29" s="12" t="s">
        <v>109</v>
      </c>
      <c r="AD29" s="11" t="s">
        <v>43</v>
      </c>
      <c r="AE29" s="12" t="s">
        <v>44</v>
      </c>
      <c r="AF29" s="14">
        <f t="shared" si="0"/>
        <v>8.9710499999999999E-2</v>
      </c>
      <c r="AG29" s="11" t="s">
        <v>110</v>
      </c>
    </row>
    <row r="30" spans="1:33" x14ac:dyDescent="0.2">
      <c r="A30" s="8">
        <v>6927</v>
      </c>
      <c r="B30" s="9" t="s">
        <v>125</v>
      </c>
      <c r="C30" s="10">
        <v>43402</v>
      </c>
      <c r="D30" s="11">
        <v>64</v>
      </c>
      <c r="E30" s="12" t="s">
        <v>34</v>
      </c>
      <c r="F30" s="12" t="s">
        <v>35</v>
      </c>
      <c r="G30" s="12" t="s">
        <v>35</v>
      </c>
      <c r="H30" s="12" t="s">
        <v>36</v>
      </c>
      <c r="I30" s="11" t="s">
        <v>37</v>
      </c>
      <c r="J30" s="12" t="s">
        <v>38</v>
      </c>
      <c r="K30" s="13" t="s">
        <v>75</v>
      </c>
      <c r="L30" s="11" t="str">
        <f>"000175"</f>
        <v>000175</v>
      </c>
      <c r="M30" s="10">
        <v>43124</v>
      </c>
      <c r="N30" s="11" t="str">
        <f>"000088"</f>
        <v>000088</v>
      </c>
      <c r="O30" s="10">
        <v>43183</v>
      </c>
      <c r="P30" s="11" t="str">
        <f>"000137"</f>
        <v>000137</v>
      </c>
      <c r="Q30" s="10">
        <v>43186</v>
      </c>
      <c r="R30" s="11">
        <v>17</v>
      </c>
      <c r="S30" s="11" t="str">
        <f>"001153"</f>
        <v>001153</v>
      </c>
      <c r="T30" s="10">
        <v>43228</v>
      </c>
      <c r="U30" s="14">
        <v>220.18600000000001</v>
      </c>
      <c r="V30" s="14">
        <v>12.220499999999999</v>
      </c>
      <c r="W30" s="14">
        <v>207.96549999999999</v>
      </c>
      <c r="X30" s="11">
        <v>252</v>
      </c>
      <c r="Y30" s="10">
        <v>43402</v>
      </c>
      <c r="Z30" s="11">
        <v>8022975610</v>
      </c>
      <c r="AA30" s="12" t="s">
        <v>40</v>
      </c>
      <c r="AB30" s="11" t="s">
        <v>41</v>
      </c>
      <c r="AC30" s="12" t="s">
        <v>42</v>
      </c>
      <c r="AD30" s="11" t="s">
        <v>43</v>
      </c>
      <c r="AE30" s="12" t="s">
        <v>44</v>
      </c>
      <c r="AF30" s="14">
        <f t="shared" si="0"/>
        <v>2.2018599999999999</v>
      </c>
      <c r="AG30" s="11" t="s">
        <v>52</v>
      </c>
    </row>
    <row r="31" spans="1:33" x14ac:dyDescent="0.2">
      <c r="A31" s="8">
        <v>7728</v>
      </c>
      <c r="B31" s="9" t="s">
        <v>135</v>
      </c>
      <c r="C31" s="10">
        <v>43448</v>
      </c>
      <c r="D31" s="11">
        <v>64</v>
      </c>
      <c r="E31" s="12" t="s">
        <v>34</v>
      </c>
      <c r="F31" s="12" t="s">
        <v>35</v>
      </c>
      <c r="G31" s="12" t="s">
        <v>35</v>
      </c>
      <c r="H31" s="12" t="s">
        <v>36</v>
      </c>
      <c r="I31" s="11" t="s">
        <v>136</v>
      </c>
      <c r="J31" s="12" t="s">
        <v>137</v>
      </c>
      <c r="K31" s="13" t="s">
        <v>48</v>
      </c>
      <c r="L31" s="11" t="str">
        <f>"000035"</f>
        <v>000035</v>
      </c>
      <c r="M31" s="10">
        <v>43023</v>
      </c>
      <c r="N31" s="11" t="str">
        <f>"000001"</f>
        <v>000001</v>
      </c>
      <c r="O31" s="10">
        <v>42825</v>
      </c>
      <c r="P31" s="11" t="str">
        <f>"000020"</f>
        <v>000020</v>
      </c>
      <c r="Q31" s="10">
        <v>43039</v>
      </c>
      <c r="R31" s="11">
        <v>11</v>
      </c>
      <c r="S31" s="11" t="str">
        <f>"007879"</f>
        <v>007879</v>
      </c>
      <c r="T31" s="10">
        <v>43445</v>
      </c>
      <c r="U31" s="14">
        <v>3.1349999999999998</v>
      </c>
      <c r="V31" s="14">
        <v>0.31524999999999997</v>
      </c>
      <c r="W31" s="14">
        <v>2.81975</v>
      </c>
      <c r="X31" s="11">
        <v>292</v>
      </c>
      <c r="Y31" s="10">
        <v>43448</v>
      </c>
      <c r="Z31" s="11">
        <v>9916479734</v>
      </c>
      <c r="AA31" s="12" t="s">
        <v>134</v>
      </c>
      <c r="AB31" s="11" t="s">
        <v>138</v>
      </c>
      <c r="AC31" s="12" t="s">
        <v>139</v>
      </c>
      <c r="AD31" s="11" t="s">
        <v>43</v>
      </c>
      <c r="AE31" s="12" t="s">
        <v>44</v>
      </c>
      <c r="AF31" s="14">
        <f t="shared" si="0"/>
        <v>3.1349999999999996E-2</v>
      </c>
      <c r="AG31" s="11" t="s">
        <v>52</v>
      </c>
    </row>
    <row r="32" spans="1:33" x14ac:dyDescent="0.2">
      <c r="A32" s="8">
        <v>7902</v>
      </c>
      <c r="B32" s="9" t="s">
        <v>135</v>
      </c>
      <c r="C32" s="10">
        <v>43454</v>
      </c>
      <c r="D32" s="11">
        <v>64</v>
      </c>
      <c r="E32" s="12" t="s">
        <v>34</v>
      </c>
      <c r="F32" s="12" t="s">
        <v>35</v>
      </c>
      <c r="G32" s="12" t="s">
        <v>35</v>
      </c>
      <c r="H32" s="12" t="s">
        <v>36</v>
      </c>
      <c r="I32" s="11" t="s">
        <v>140</v>
      </c>
      <c r="J32" s="12" t="s">
        <v>141</v>
      </c>
      <c r="K32" s="13" t="s">
        <v>142</v>
      </c>
      <c r="L32" s="11" t="str">
        <f>"000092"</f>
        <v>000092</v>
      </c>
      <c r="M32" s="10">
        <v>43067</v>
      </c>
      <c r="N32" s="11" t="str">
        <f>"000051"</f>
        <v>000051</v>
      </c>
      <c r="O32" s="10">
        <v>43124</v>
      </c>
      <c r="P32" s="11" t="str">
        <f>"000099"</f>
        <v>000099</v>
      </c>
      <c r="Q32" s="10">
        <v>43152</v>
      </c>
      <c r="R32" s="11">
        <v>17</v>
      </c>
      <c r="S32" s="11" t="str">
        <f>"008000"</f>
        <v>008000</v>
      </c>
      <c r="T32" s="10">
        <v>43448</v>
      </c>
      <c r="U32" s="14">
        <v>18.539750000000002</v>
      </c>
      <c r="V32" s="14">
        <v>1.0321499999999999</v>
      </c>
      <c r="W32" s="14">
        <v>17.5076</v>
      </c>
      <c r="X32" s="11">
        <v>298</v>
      </c>
      <c r="Y32" s="10">
        <v>43454</v>
      </c>
      <c r="Z32" s="11">
        <v>8022975610</v>
      </c>
      <c r="AA32" s="12" t="s">
        <v>143</v>
      </c>
      <c r="AB32" s="11" t="s">
        <v>50</v>
      </c>
      <c r="AC32" s="12" t="s">
        <v>51</v>
      </c>
      <c r="AD32" s="11" t="s">
        <v>43</v>
      </c>
      <c r="AE32" s="12" t="s">
        <v>44</v>
      </c>
      <c r="AF32" s="14">
        <f t="shared" si="0"/>
        <v>0.18539750000000002</v>
      </c>
      <c r="AG32" s="11" t="s">
        <v>52</v>
      </c>
    </row>
    <row r="33" spans="1:33" x14ac:dyDescent="0.2">
      <c r="A33" s="8">
        <v>8259</v>
      </c>
      <c r="B33" s="9" t="s">
        <v>144</v>
      </c>
      <c r="C33" s="10">
        <v>43466</v>
      </c>
      <c r="D33" s="11">
        <v>64</v>
      </c>
      <c r="E33" s="12" t="s">
        <v>34</v>
      </c>
      <c r="F33" s="12" t="s">
        <v>35</v>
      </c>
      <c r="G33" s="12" t="s">
        <v>35</v>
      </c>
      <c r="H33" s="12" t="s">
        <v>36</v>
      </c>
      <c r="I33" s="11" t="s">
        <v>37</v>
      </c>
      <c r="J33" s="12" t="s">
        <v>38</v>
      </c>
      <c r="K33" s="13" t="s">
        <v>75</v>
      </c>
      <c r="L33" s="11" t="str">
        <f>"000175"</f>
        <v>000175</v>
      </c>
      <c r="M33" s="10">
        <v>43124</v>
      </c>
      <c r="N33" s="11" t="str">
        <f>"000088"</f>
        <v>000088</v>
      </c>
      <c r="O33" s="10">
        <v>43183</v>
      </c>
      <c r="P33" s="11" t="str">
        <f>"000137"</f>
        <v>000137</v>
      </c>
      <c r="Q33" s="10">
        <v>43186</v>
      </c>
      <c r="R33" s="11"/>
      <c r="S33" s="11" t="str">
        <f>"001153"</f>
        <v>001153</v>
      </c>
      <c r="T33" s="10">
        <v>43228</v>
      </c>
      <c r="U33" s="14">
        <v>31.627050000000001</v>
      </c>
      <c r="V33" s="14">
        <v>1.5498499999999999</v>
      </c>
      <c r="W33" s="14">
        <v>30.077200000000001</v>
      </c>
      <c r="X33" s="11">
        <v>309</v>
      </c>
      <c r="Y33" s="10">
        <v>43466</v>
      </c>
      <c r="Z33" s="11">
        <v>8022975610</v>
      </c>
      <c r="AA33" s="12" t="s">
        <v>40</v>
      </c>
      <c r="AB33" s="11" t="s">
        <v>41</v>
      </c>
      <c r="AC33" s="12" t="s">
        <v>42</v>
      </c>
      <c r="AD33" s="11" t="s">
        <v>43</v>
      </c>
      <c r="AE33" s="12" t="s">
        <v>44</v>
      </c>
      <c r="AF33" s="14">
        <f t="shared" si="0"/>
        <v>0.31627050000000001</v>
      </c>
      <c r="AG33" s="11" t="s">
        <v>52</v>
      </c>
    </row>
    <row r="34" spans="1:33" x14ac:dyDescent="0.2">
      <c r="A34" s="8">
        <v>8351</v>
      </c>
      <c r="B34" s="9" t="s">
        <v>144</v>
      </c>
      <c r="C34" s="10">
        <v>43467</v>
      </c>
      <c r="D34" s="11">
        <v>64</v>
      </c>
      <c r="E34" s="12" t="s">
        <v>34</v>
      </c>
      <c r="F34" s="12" t="s">
        <v>35</v>
      </c>
      <c r="G34" s="12" t="s">
        <v>35</v>
      </c>
      <c r="H34" s="12" t="s">
        <v>36</v>
      </c>
      <c r="I34" s="11" t="s">
        <v>145</v>
      </c>
      <c r="J34" s="12" t="s">
        <v>146</v>
      </c>
      <c r="K34" s="13" t="s">
        <v>48</v>
      </c>
      <c r="L34" s="11" t="str">
        <f>"000105"</f>
        <v>000105</v>
      </c>
      <c r="M34" s="10">
        <v>43270</v>
      </c>
      <c r="N34" s="11" t="str">
        <f>"000031"</f>
        <v>000031</v>
      </c>
      <c r="O34" s="10">
        <v>43281</v>
      </c>
      <c r="P34" s="11" t="str">
        <f>"000109"</f>
        <v>000109</v>
      </c>
      <c r="Q34" s="10">
        <v>43283</v>
      </c>
      <c r="R34" s="11"/>
      <c r="S34" s="11" t="str">
        <f>"008033"</f>
        <v>008033</v>
      </c>
      <c r="T34" s="10">
        <v>43451</v>
      </c>
      <c r="U34" s="14">
        <v>9.7103000000000002</v>
      </c>
      <c r="V34" s="14">
        <v>0.86119999999999997</v>
      </c>
      <c r="W34" s="14">
        <v>8.8491</v>
      </c>
      <c r="X34" s="11">
        <v>311</v>
      </c>
      <c r="Y34" s="10">
        <v>43467</v>
      </c>
      <c r="Z34" s="11">
        <v>9986233330</v>
      </c>
      <c r="AA34" s="12" t="s">
        <v>107</v>
      </c>
      <c r="AB34" s="11" t="s">
        <v>147</v>
      </c>
      <c r="AC34" s="12" t="s">
        <v>148</v>
      </c>
      <c r="AD34" s="11" t="s">
        <v>43</v>
      </c>
      <c r="AE34" s="12" t="s">
        <v>44</v>
      </c>
      <c r="AF34" s="14">
        <f t="shared" si="0"/>
        <v>9.7102999999999995E-2</v>
      </c>
      <c r="AG34" s="11" t="s">
        <v>110</v>
      </c>
    </row>
    <row r="35" spans="1:33" x14ac:dyDescent="0.2">
      <c r="A35" s="8">
        <v>8472</v>
      </c>
      <c r="B35" s="9" t="s">
        <v>144</v>
      </c>
      <c r="C35" s="10">
        <v>43472</v>
      </c>
      <c r="D35" s="11">
        <v>64</v>
      </c>
      <c r="E35" s="12" t="s">
        <v>34</v>
      </c>
      <c r="F35" s="12" t="s">
        <v>35</v>
      </c>
      <c r="G35" s="12" t="s">
        <v>35</v>
      </c>
      <c r="H35" s="12" t="s">
        <v>36</v>
      </c>
      <c r="I35" s="11" t="s">
        <v>37</v>
      </c>
      <c r="J35" s="12" t="s">
        <v>38</v>
      </c>
      <c r="K35" s="13" t="s">
        <v>75</v>
      </c>
      <c r="L35" s="11" t="str">
        <f>"000175"</f>
        <v>000175</v>
      </c>
      <c r="M35" s="10">
        <v>43124</v>
      </c>
      <c r="N35" s="11" t="str">
        <f>"000088"</f>
        <v>000088</v>
      </c>
      <c r="O35" s="10">
        <v>43183</v>
      </c>
      <c r="P35" s="11" t="str">
        <f>"000137"</f>
        <v>000137</v>
      </c>
      <c r="Q35" s="10">
        <v>43186</v>
      </c>
      <c r="R35" s="11"/>
      <c r="S35" s="11" t="str">
        <f>"001153"</f>
        <v>001153</v>
      </c>
      <c r="T35" s="10">
        <v>43228</v>
      </c>
      <c r="U35" s="14">
        <v>9.3480500000000006</v>
      </c>
      <c r="V35" s="14">
        <v>1.5892500000000001</v>
      </c>
      <c r="W35" s="14">
        <v>7.7587999999999999</v>
      </c>
      <c r="X35" s="11">
        <v>317</v>
      </c>
      <c r="Y35" s="10">
        <v>43472</v>
      </c>
      <c r="Z35" s="11">
        <v>9538136111</v>
      </c>
      <c r="AA35" s="12" t="s">
        <v>149</v>
      </c>
      <c r="AB35" s="11" t="s">
        <v>41</v>
      </c>
      <c r="AC35" s="12" t="s">
        <v>42</v>
      </c>
      <c r="AD35" s="11" t="s">
        <v>43</v>
      </c>
      <c r="AE35" s="12" t="s">
        <v>44</v>
      </c>
      <c r="AF35" s="14">
        <f t="shared" si="0"/>
        <v>9.3480500000000008E-2</v>
      </c>
      <c r="AG35" s="11" t="s">
        <v>52</v>
      </c>
    </row>
    <row r="36" spans="1:33" x14ac:dyDescent="0.2">
      <c r="A36" s="8">
        <v>8916</v>
      </c>
      <c r="B36" s="9" t="s">
        <v>150</v>
      </c>
      <c r="C36" s="10">
        <v>43497</v>
      </c>
      <c r="D36" s="11">
        <v>64</v>
      </c>
      <c r="E36" s="12" t="s">
        <v>34</v>
      </c>
      <c r="F36" s="12" t="s">
        <v>35</v>
      </c>
      <c r="G36" s="12" t="s">
        <v>35</v>
      </c>
      <c r="H36" s="12" t="s">
        <v>36</v>
      </c>
      <c r="I36" s="11" t="s">
        <v>151</v>
      </c>
      <c r="J36" s="12" t="s">
        <v>152</v>
      </c>
      <c r="K36" s="13" t="s">
        <v>48</v>
      </c>
      <c r="L36" s="11" t="str">
        <f>"000254"</f>
        <v>000254</v>
      </c>
      <c r="M36" s="10">
        <v>43318</v>
      </c>
      <c r="N36" s="11" t="str">
        <f>"000039"</f>
        <v>000039</v>
      </c>
      <c r="O36" s="10">
        <v>43332</v>
      </c>
      <c r="P36" s="11" t="str">
        <f>"000142"</f>
        <v>000142</v>
      </c>
      <c r="Q36" s="10">
        <v>43333</v>
      </c>
      <c r="R36" s="11"/>
      <c r="S36" s="11" t="str">
        <f>"008757"</f>
        <v>008757</v>
      </c>
      <c r="T36" s="10">
        <v>43482</v>
      </c>
      <c r="U36" s="14">
        <v>19.922450000000001</v>
      </c>
      <c r="V36" s="14">
        <v>1.70705</v>
      </c>
      <c r="W36" s="14">
        <v>18.215399999999999</v>
      </c>
      <c r="X36" s="11">
        <v>337</v>
      </c>
      <c r="Y36" s="10">
        <v>43497</v>
      </c>
      <c r="Z36" s="11">
        <v>8022975610</v>
      </c>
      <c r="AA36" s="12" t="s">
        <v>153</v>
      </c>
      <c r="AB36" s="11" t="s">
        <v>154</v>
      </c>
      <c r="AC36" s="12" t="s">
        <v>155</v>
      </c>
      <c r="AD36" s="11" t="s">
        <v>43</v>
      </c>
      <c r="AE36" s="12" t="s">
        <v>44</v>
      </c>
      <c r="AF36" s="14">
        <f t="shared" si="0"/>
        <v>0.19922450000000003</v>
      </c>
      <c r="AG36" s="11" t="s">
        <v>110</v>
      </c>
    </row>
    <row r="37" spans="1:33" x14ac:dyDescent="0.2">
      <c r="A37" s="8">
        <v>9056</v>
      </c>
      <c r="B37" s="9" t="s">
        <v>150</v>
      </c>
      <c r="C37" s="10">
        <v>43504</v>
      </c>
      <c r="D37" s="11">
        <v>64</v>
      </c>
      <c r="E37" s="12" t="s">
        <v>34</v>
      </c>
      <c r="F37" s="12" t="s">
        <v>35</v>
      </c>
      <c r="G37" s="12" t="s">
        <v>35</v>
      </c>
      <c r="H37" s="12" t="s">
        <v>36</v>
      </c>
      <c r="I37" s="11" t="s">
        <v>156</v>
      </c>
      <c r="J37" s="12" t="s">
        <v>157</v>
      </c>
      <c r="K37" s="15" t="s">
        <v>71</v>
      </c>
      <c r="L37" s="11" t="str">
        <f>"000129"</f>
        <v>000129</v>
      </c>
      <c r="M37" s="10">
        <v>43302</v>
      </c>
      <c r="N37" s="11" t="str">
        <f>"000047"</f>
        <v>000047</v>
      </c>
      <c r="O37" s="10">
        <v>43349</v>
      </c>
      <c r="P37" s="11" t="str">
        <f>"000228"</f>
        <v>000228</v>
      </c>
      <c r="Q37" s="10">
        <v>43439</v>
      </c>
      <c r="R37" s="11"/>
      <c r="S37" s="11" t="str">
        <f>"009164"</f>
        <v>009164</v>
      </c>
      <c r="T37" s="10">
        <v>43503</v>
      </c>
      <c r="U37" s="14">
        <v>11.386649999999999</v>
      </c>
      <c r="V37" s="14">
        <v>1.2464999999999999</v>
      </c>
      <c r="W37" s="14">
        <v>10.14015</v>
      </c>
      <c r="X37" s="11">
        <v>346</v>
      </c>
      <c r="Y37" s="10">
        <v>43504</v>
      </c>
      <c r="Z37" s="11">
        <v>8022975610</v>
      </c>
      <c r="AA37" s="12" t="s">
        <v>107</v>
      </c>
      <c r="AB37" s="11" t="s">
        <v>108</v>
      </c>
      <c r="AC37" s="12" t="s">
        <v>109</v>
      </c>
      <c r="AD37" s="11" t="s">
        <v>43</v>
      </c>
      <c r="AE37" s="12" t="s">
        <v>44</v>
      </c>
      <c r="AF37" s="14">
        <f t="shared" si="0"/>
        <v>0.1138665</v>
      </c>
      <c r="AG37" s="11" t="s">
        <v>110</v>
      </c>
    </row>
    <row r="38" spans="1:33" x14ac:dyDescent="0.2">
      <c r="A38" s="8">
        <v>9339</v>
      </c>
      <c r="B38" s="9" t="s">
        <v>150</v>
      </c>
      <c r="C38" s="10">
        <v>43521</v>
      </c>
      <c r="D38" s="11">
        <v>64</v>
      </c>
      <c r="E38" s="12" t="s">
        <v>34</v>
      </c>
      <c r="F38" s="12" t="s">
        <v>35</v>
      </c>
      <c r="G38" s="12" t="s">
        <v>35</v>
      </c>
      <c r="H38" s="12" t="s">
        <v>36</v>
      </c>
      <c r="I38" s="11" t="s">
        <v>158</v>
      </c>
      <c r="J38" s="12" t="s">
        <v>159</v>
      </c>
      <c r="K38" s="13" t="s">
        <v>75</v>
      </c>
      <c r="L38" s="11" t="str">
        <f>"000031"</f>
        <v>000031</v>
      </c>
      <c r="M38" s="10">
        <v>42870</v>
      </c>
      <c r="N38" s="11" t="str">
        <f>"000035"</f>
        <v>000035</v>
      </c>
      <c r="O38" s="10">
        <v>42916</v>
      </c>
      <c r="P38" s="11" t="str">
        <f>"000081"</f>
        <v>000081</v>
      </c>
      <c r="Q38" s="10">
        <v>42916</v>
      </c>
      <c r="R38" s="11"/>
      <c r="S38" s="11" t="str">
        <f>"009442"</f>
        <v>009442</v>
      </c>
      <c r="T38" s="10">
        <v>43518</v>
      </c>
      <c r="U38" s="14">
        <v>19.99005</v>
      </c>
      <c r="V38" s="14">
        <v>2.5942500000000002</v>
      </c>
      <c r="W38" s="14">
        <v>17.395800000000001</v>
      </c>
      <c r="X38" s="11">
        <v>359</v>
      </c>
      <c r="Y38" s="10">
        <v>43521</v>
      </c>
      <c r="Z38" s="11">
        <v>9986733330</v>
      </c>
      <c r="AA38" s="12" t="s">
        <v>92</v>
      </c>
      <c r="AB38" s="11" t="s">
        <v>160</v>
      </c>
      <c r="AC38" s="12" t="s">
        <v>161</v>
      </c>
      <c r="AD38" s="11" t="s">
        <v>43</v>
      </c>
      <c r="AE38" s="12" t="s">
        <v>44</v>
      </c>
      <c r="AF38" s="14">
        <f t="shared" si="0"/>
        <v>0.19990050000000001</v>
      </c>
      <c r="AG38" s="11" t="s">
        <v>52</v>
      </c>
    </row>
    <row r="39" spans="1:33" x14ac:dyDescent="0.2">
      <c r="A39" s="8">
        <v>9340</v>
      </c>
      <c r="B39" s="9" t="s">
        <v>150</v>
      </c>
      <c r="C39" s="10">
        <v>43521</v>
      </c>
      <c r="D39" s="11">
        <v>64</v>
      </c>
      <c r="E39" s="12" t="s">
        <v>34</v>
      </c>
      <c r="F39" s="12" t="s">
        <v>35</v>
      </c>
      <c r="G39" s="12" t="s">
        <v>35</v>
      </c>
      <c r="H39" s="12" t="s">
        <v>36</v>
      </c>
      <c r="I39" s="11" t="s">
        <v>162</v>
      </c>
      <c r="J39" s="12" t="s">
        <v>163</v>
      </c>
      <c r="K39" s="13" t="s">
        <v>75</v>
      </c>
      <c r="L39" s="11" t="str">
        <f>"000032"</f>
        <v>000032</v>
      </c>
      <c r="M39" s="10">
        <v>42870</v>
      </c>
      <c r="N39" s="11" t="str">
        <f>"000042"</f>
        <v>000042</v>
      </c>
      <c r="O39" s="10">
        <v>42916</v>
      </c>
      <c r="P39" s="11" t="str">
        <f>"000082"</f>
        <v>000082</v>
      </c>
      <c r="Q39" s="10">
        <v>42916</v>
      </c>
      <c r="R39" s="11"/>
      <c r="S39" s="11" t="str">
        <f>"009443"</f>
        <v>009443</v>
      </c>
      <c r="T39" s="10">
        <v>43518</v>
      </c>
      <c r="U39" s="14">
        <v>19.9923</v>
      </c>
      <c r="V39" s="14">
        <v>2.5965500000000001</v>
      </c>
      <c r="W39" s="14">
        <v>17.39575</v>
      </c>
      <c r="X39" s="11">
        <v>359</v>
      </c>
      <c r="Y39" s="10">
        <v>43521</v>
      </c>
      <c r="Z39" s="11">
        <v>9986733330</v>
      </c>
      <c r="AA39" s="12" t="s">
        <v>164</v>
      </c>
      <c r="AB39" s="11" t="s">
        <v>160</v>
      </c>
      <c r="AC39" s="12" t="s">
        <v>161</v>
      </c>
      <c r="AD39" s="11" t="s">
        <v>43</v>
      </c>
      <c r="AE39" s="12" t="s">
        <v>44</v>
      </c>
      <c r="AF39" s="14">
        <f t="shared" si="0"/>
        <v>0.19992299999999999</v>
      </c>
      <c r="AG39" s="11" t="s">
        <v>52</v>
      </c>
    </row>
    <row r="40" spans="1:33" x14ac:dyDescent="0.2">
      <c r="A40" s="8">
        <v>9341</v>
      </c>
      <c r="B40" s="9" t="s">
        <v>150</v>
      </c>
      <c r="C40" s="10">
        <v>43521</v>
      </c>
      <c r="D40" s="11">
        <v>64</v>
      </c>
      <c r="E40" s="12" t="s">
        <v>34</v>
      </c>
      <c r="F40" s="12" t="s">
        <v>35</v>
      </c>
      <c r="G40" s="12" t="s">
        <v>35</v>
      </c>
      <c r="H40" s="12" t="s">
        <v>36</v>
      </c>
      <c r="I40" s="11" t="s">
        <v>165</v>
      </c>
      <c r="J40" s="12" t="s">
        <v>166</v>
      </c>
      <c r="K40" s="13" t="s">
        <v>75</v>
      </c>
      <c r="L40" s="11" t="str">
        <f>"a00029"</f>
        <v>a00029</v>
      </c>
      <c r="M40" s="10">
        <v>42870</v>
      </c>
      <c r="N40" s="11" t="str">
        <f>"000037"</f>
        <v>000037</v>
      </c>
      <c r="O40" s="10">
        <v>42916</v>
      </c>
      <c r="P40" s="11" t="str">
        <f>"000083"</f>
        <v>000083</v>
      </c>
      <c r="Q40" s="10">
        <v>42916</v>
      </c>
      <c r="R40" s="11"/>
      <c r="S40" s="11" t="str">
        <f>"009444"</f>
        <v>009444</v>
      </c>
      <c r="T40" s="10">
        <v>43518</v>
      </c>
      <c r="U40" s="14">
        <v>19.884699999999999</v>
      </c>
      <c r="V40" s="14">
        <v>2.5816499999999998</v>
      </c>
      <c r="W40" s="14">
        <v>17.303049999999999</v>
      </c>
      <c r="X40" s="11">
        <v>359</v>
      </c>
      <c r="Y40" s="10">
        <v>43521</v>
      </c>
      <c r="Z40" s="11">
        <v>9986733330</v>
      </c>
      <c r="AA40" s="12" t="s">
        <v>153</v>
      </c>
      <c r="AB40" s="11" t="s">
        <v>160</v>
      </c>
      <c r="AC40" s="12" t="s">
        <v>161</v>
      </c>
      <c r="AD40" s="11" t="s">
        <v>43</v>
      </c>
      <c r="AE40" s="12" t="s">
        <v>44</v>
      </c>
      <c r="AF40" s="14">
        <f t="shared" si="0"/>
        <v>0.198847</v>
      </c>
      <c r="AG40" s="11" t="s">
        <v>52</v>
      </c>
    </row>
    <row r="41" spans="1:33" x14ac:dyDescent="0.2">
      <c r="A41" s="8">
        <v>9342</v>
      </c>
      <c r="B41" s="9" t="s">
        <v>150</v>
      </c>
      <c r="C41" s="10">
        <v>43521</v>
      </c>
      <c r="D41" s="11">
        <v>64</v>
      </c>
      <c r="E41" s="12" t="s">
        <v>34</v>
      </c>
      <c r="F41" s="12" t="s">
        <v>35</v>
      </c>
      <c r="G41" s="12" t="s">
        <v>35</v>
      </c>
      <c r="H41" s="12" t="s">
        <v>36</v>
      </c>
      <c r="I41" s="11" t="s">
        <v>167</v>
      </c>
      <c r="J41" s="12" t="s">
        <v>168</v>
      </c>
      <c r="K41" s="13" t="s">
        <v>75</v>
      </c>
      <c r="L41" s="11" t="str">
        <f>"000025"</f>
        <v>000025</v>
      </c>
      <c r="M41" s="10">
        <v>42870</v>
      </c>
      <c r="N41" s="11" t="str">
        <f>"a00045"</f>
        <v>a00045</v>
      </c>
      <c r="O41" s="10">
        <v>42916</v>
      </c>
      <c r="P41" s="11" t="str">
        <f>"000084"</f>
        <v>000084</v>
      </c>
      <c r="Q41" s="10">
        <v>42916</v>
      </c>
      <c r="R41" s="11"/>
      <c r="S41" s="11" t="str">
        <f>"009445"</f>
        <v>009445</v>
      </c>
      <c r="T41" s="10">
        <v>43518</v>
      </c>
      <c r="U41" s="14">
        <v>19.990200000000002</v>
      </c>
      <c r="V41" s="14">
        <v>2.5863499999999999</v>
      </c>
      <c r="W41" s="14">
        <v>17.403849999999998</v>
      </c>
      <c r="X41" s="11">
        <v>359</v>
      </c>
      <c r="Y41" s="10">
        <v>43521</v>
      </c>
      <c r="Z41" s="11">
        <v>9986733330</v>
      </c>
      <c r="AA41" s="12" t="s">
        <v>92</v>
      </c>
      <c r="AB41" s="11" t="s">
        <v>160</v>
      </c>
      <c r="AC41" s="12" t="s">
        <v>161</v>
      </c>
      <c r="AD41" s="11" t="s">
        <v>43</v>
      </c>
      <c r="AE41" s="12" t="s">
        <v>44</v>
      </c>
      <c r="AF41" s="14">
        <f t="shared" si="0"/>
        <v>0.19990200000000002</v>
      </c>
      <c r="AG41" s="11" t="s">
        <v>52</v>
      </c>
    </row>
    <row r="42" spans="1:33" x14ac:dyDescent="0.2">
      <c r="A42" s="8">
        <v>9343</v>
      </c>
      <c r="B42" s="9" t="s">
        <v>150</v>
      </c>
      <c r="C42" s="10">
        <v>43521</v>
      </c>
      <c r="D42" s="11">
        <v>64</v>
      </c>
      <c r="E42" s="12" t="s">
        <v>34</v>
      </c>
      <c r="F42" s="12" t="s">
        <v>35</v>
      </c>
      <c r="G42" s="12" t="s">
        <v>35</v>
      </c>
      <c r="H42" s="12" t="s">
        <v>36</v>
      </c>
      <c r="I42" s="11" t="s">
        <v>169</v>
      </c>
      <c r="J42" s="12" t="s">
        <v>170</v>
      </c>
      <c r="K42" s="13" t="s">
        <v>75</v>
      </c>
      <c r="L42" s="11" t="str">
        <f>"A00030"</f>
        <v>A00030</v>
      </c>
      <c r="M42" s="10">
        <v>42870</v>
      </c>
      <c r="N42" s="11" t="str">
        <f>"000036"</f>
        <v>000036</v>
      </c>
      <c r="O42" s="10">
        <v>42916</v>
      </c>
      <c r="P42" s="11" t="str">
        <f>"000085"</f>
        <v>000085</v>
      </c>
      <c r="Q42" s="10">
        <v>42916</v>
      </c>
      <c r="R42" s="11"/>
      <c r="S42" s="11" t="str">
        <f>"009446"</f>
        <v>009446</v>
      </c>
      <c r="T42" s="10">
        <v>43518</v>
      </c>
      <c r="U42" s="14">
        <v>19.9892</v>
      </c>
      <c r="V42" s="14">
        <v>2.5962000000000001</v>
      </c>
      <c r="W42" s="14">
        <v>17.393000000000001</v>
      </c>
      <c r="X42" s="11">
        <v>359</v>
      </c>
      <c r="Y42" s="10">
        <v>43521</v>
      </c>
      <c r="Z42" s="11">
        <v>9986733330</v>
      </c>
      <c r="AA42" s="12" t="s">
        <v>153</v>
      </c>
      <c r="AB42" s="11" t="s">
        <v>160</v>
      </c>
      <c r="AC42" s="12" t="s">
        <v>161</v>
      </c>
      <c r="AD42" s="11" t="s">
        <v>43</v>
      </c>
      <c r="AE42" s="12" t="s">
        <v>44</v>
      </c>
      <c r="AF42" s="14">
        <f t="shared" si="0"/>
        <v>0.19989200000000001</v>
      </c>
      <c r="AG42" s="11" t="s">
        <v>52</v>
      </c>
    </row>
    <row r="43" spans="1:33" x14ac:dyDescent="0.2">
      <c r="A43" s="8">
        <v>9344</v>
      </c>
      <c r="B43" s="9" t="s">
        <v>150</v>
      </c>
      <c r="C43" s="10">
        <v>43521</v>
      </c>
      <c r="D43" s="11">
        <v>64</v>
      </c>
      <c r="E43" s="12" t="s">
        <v>34</v>
      </c>
      <c r="F43" s="12" t="s">
        <v>35</v>
      </c>
      <c r="G43" s="12" t="s">
        <v>35</v>
      </c>
      <c r="H43" s="12" t="s">
        <v>36</v>
      </c>
      <c r="I43" s="11" t="s">
        <v>171</v>
      </c>
      <c r="J43" s="12" t="s">
        <v>172</v>
      </c>
      <c r="K43" s="13" t="s">
        <v>39</v>
      </c>
      <c r="L43" s="11" t="str">
        <f>"000026"</f>
        <v>000026</v>
      </c>
      <c r="M43" s="10">
        <v>42870</v>
      </c>
      <c r="N43" s="11" t="str">
        <f>"000040"</f>
        <v>000040</v>
      </c>
      <c r="O43" s="10">
        <v>42916</v>
      </c>
      <c r="P43" s="11" t="str">
        <f>"000086"</f>
        <v>000086</v>
      </c>
      <c r="Q43" s="10">
        <v>42916</v>
      </c>
      <c r="R43" s="11"/>
      <c r="S43" s="11" t="str">
        <f>"009447"</f>
        <v>009447</v>
      </c>
      <c r="T43" s="10">
        <v>43518</v>
      </c>
      <c r="U43" s="14">
        <v>19.986599999999999</v>
      </c>
      <c r="V43" s="14">
        <v>2.5958999999999999</v>
      </c>
      <c r="W43" s="14">
        <v>17.390699999999999</v>
      </c>
      <c r="X43" s="11">
        <v>359</v>
      </c>
      <c r="Y43" s="10">
        <v>43521</v>
      </c>
      <c r="Z43" s="11">
        <v>9986733330</v>
      </c>
      <c r="AA43" s="12" t="s">
        <v>92</v>
      </c>
      <c r="AB43" s="11" t="s">
        <v>160</v>
      </c>
      <c r="AC43" s="12" t="s">
        <v>161</v>
      </c>
      <c r="AD43" s="11" t="s">
        <v>43</v>
      </c>
      <c r="AE43" s="12" t="s">
        <v>44</v>
      </c>
      <c r="AF43" s="14">
        <f t="shared" si="0"/>
        <v>0.19986599999999999</v>
      </c>
      <c r="AG43" s="11" t="s">
        <v>52</v>
      </c>
    </row>
    <row r="44" spans="1:33" x14ac:dyDescent="0.2">
      <c r="A44" s="8">
        <v>9345</v>
      </c>
      <c r="B44" s="9" t="s">
        <v>150</v>
      </c>
      <c r="C44" s="10">
        <v>43521</v>
      </c>
      <c r="D44" s="11">
        <v>64</v>
      </c>
      <c r="E44" s="12" t="s">
        <v>34</v>
      </c>
      <c r="F44" s="12" t="s">
        <v>35</v>
      </c>
      <c r="G44" s="12" t="s">
        <v>35</v>
      </c>
      <c r="H44" s="12" t="s">
        <v>36</v>
      </c>
      <c r="I44" s="11" t="s">
        <v>173</v>
      </c>
      <c r="J44" s="12" t="s">
        <v>174</v>
      </c>
      <c r="K44" s="13" t="s">
        <v>39</v>
      </c>
      <c r="L44" s="11" t="str">
        <f>"000028"</f>
        <v>000028</v>
      </c>
      <c r="M44" s="10">
        <v>42870</v>
      </c>
      <c r="N44" s="11" t="str">
        <f>"000044"</f>
        <v>000044</v>
      </c>
      <c r="O44" s="10">
        <v>42916</v>
      </c>
      <c r="P44" s="11" t="str">
        <f>"000087"</f>
        <v>000087</v>
      </c>
      <c r="Q44" s="10">
        <v>42916</v>
      </c>
      <c r="R44" s="11"/>
      <c r="S44" s="11" t="str">
        <f>"009448"</f>
        <v>009448</v>
      </c>
      <c r="T44" s="10">
        <v>43518</v>
      </c>
      <c r="U44" s="14">
        <v>19.986249999999998</v>
      </c>
      <c r="V44" s="14">
        <v>2.5938500000000002</v>
      </c>
      <c r="W44" s="14">
        <v>17.392399999999999</v>
      </c>
      <c r="X44" s="11">
        <v>359</v>
      </c>
      <c r="Y44" s="10">
        <v>43521</v>
      </c>
      <c r="Z44" s="11">
        <v>9986733330</v>
      </c>
      <c r="AA44" s="12" t="s">
        <v>164</v>
      </c>
      <c r="AB44" s="11" t="s">
        <v>160</v>
      </c>
      <c r="AC44" s="12" t="s">
        <v>161</v>
      </c>
      <c r="AD44" s="11" t="s">
        <v>43</v>
      </c>
      <c r="AE44" s="12" t="s">
        <v>44</v>
      </c>
      <c r="AF44" s="14">
        <f t="shared" si="0"/>
        <v>0.19986249999999997</v>
      </c>
      <c r="AG44" s="11" t="s">
        <v>52</v>
      </c>
    </row>
    <row r="45" spans="1:33" x14ac:dyDescent="0.2">
      <c r="A45" s="8">
        <v>9346</v>
      </c>
      <c r="B45" s="9" t="s">
        <v>150</v>
      </c>
      <c r="C45" s="10">
        <v>43521</v>
      </c>
      <c r="D45" s="11">
        <v>64</v>
      </c>
      <c r="E45" s="12" t="s">
        <v>34</v>
      </c>
      <c r="F45" s="12" t="s">
        <v>35</v>
      </c>
      <c r="G45" s="12" t="s">
        <v>35</v>
      </c>
      <c r="H45" s="12" t="s">
        <v>36</v>
      </c>
      <c r="I45" s="11" t="s">
        <v>175</v>
      </c>
      <c r="J45" s="12" t="s">
        <v>176</v>
      </c>
      <c r="K45" s="13" t="s">
        <v>75</v>
      </c>
      <c r="L45" s="11" t="str">
        <f>"000064"</f>
        <v>000064</v>
      </c>
      <c r="M45" s="10">
        <v>42902</v>
      </c>
      <c r="N45" s="11" t="str">
        <f>"000041"</f>
        <v>000041</v>
      </c>
      <c r="O45" s="10">
        <v>42916</v>
      </c>
      <c r="P45" s="11" t="str">
        <f>"000088"</f>
        <v>000088</v>
      </c>
      <c r="Q45" s="10">
        <v>42916</v>
      </c>
      <c r="R45" s="11"/>
      <c r="S45" s="11" t="str">
        <f>"009449"</f>
        <v>009449</v>
      </c>
      <c r="T45" s="10">
        <v>43518</v>
      </c>
      <c r="U45" s="14">
        <v>19.986550000000001</v>
      </c>
      <c r="V45" s="14">
        <v>2.56535</v>
      </c>
      <c r="W45" s="14">
        <v>17.421199999999999</v>
      </c>
      <c r="X45" s="11">
        <v>359</v>
      </c>
      <c r="Y45" s="10">
        <v>43521</v>
      </c>
      <c r="Z45" s="11">
        <v>9986733330</v>
      </c>
      <c r="AA45" s="12" t="s">
        <v>92</v>
      </c>
      <c r="AB45" s="11" t="s">
        <v>177</v>
      </c>
      <c r="AC45" s="12" t="s">
        <v>178</v>
      </c>
      <c r="AD45" s="11" t="s">
        <v>43</v>
      </c>
      <c r="AE45" s="12" t="s">
        <v>44</v>
      </c>
      <c r="AF45" s="14">
        <f t="shared" si="0"/>
        <v>0.1998655</v>
      </c>
      <c r="AG45" s="11" t="s">
        <v>52</v>
      </c>
    </row>
    <row r="46" spans="1:33" x14ac:dyDescent="0.2">
      <c r="A46" s="8">
        <v>9347</v>
      </c>
      <c r="B46" s="9" t="s">
        <v>150</v>
      </c>
      <c r="C46" s="10">
        <v>43521</v>
      </c>
      <c r="D46" s="11">
        <v>64</v>
      </c>
      <c r="E46" s="12" t="s">
        <v>34</v>
      </c>
      <c r="F46" s="12" t="s">
        <v>35</v>
      </c>
      <c r="G46" s="12" t="s">
        <v>35</v>
      </c>
      <c r="H46" s="12" t="s">
        <v>36</v>
      </c>
      <c r="I46" s="11" t="s">
        <v>179</v>
      </c>
      <c r="J46" s="12" t="s">
        <v>180</v>
      </c>
      <c r="K46" s="13" t="s">
        <v>39</v>
      </c>
      <c r="L46" s="11" t="str">
        <f>"000063"</f>
        <v>000063</v>
      </c>
      <c r="M46" s="10">
        <v>42902</v>
      </c>
      <c r="N46" s="11" t="str">
        <f>"000043"</f>
        <v>000043</v>
      </c>
      <c r="O46" s="10">
        <v>42916</v>
      </c>
      <c r="P46" s="11" t="str">
        <f>"000089"</f>
        <v>000089</v>
      </c>
      <c r="Q46" s="10">
        <v>42916</v>
      </c>
      <c r="R46" s="11"/>
      <c r="S46" s="11" t="str">
        <f>"009450"</f>
        <v>009450</v>
      </c>
      <c r="T46" s="10">
        <v>43518</v>
      </c>
      <c r="U46" s="14">
        <v>19.986550000000001</v>
      </c>
      <c r="V46" s="14">
        <v>2.5859000000000001</v>
      </c>
      <c r="W46" s="14">
        <v>17.400649999999999</v>
      </c>
      <c r="X46" s="11">
        <v>359</v>
      </c>
      <c r="Y46" s="10">
        <v>43521</v>
      </c>
      <c r="Z46" s="11">
        <v>9986733330</v>
      </c>
      <c r="AA46" s="12" t="s">
        <v>92</v>
      </c>
      <c r="AB46" s="11" t="s">
        <v>177</v>
      </c>
      <c r="AC46" s="12" t="s">
        <v>178</v>
      </c>
      <c r="AD46" s="11" t="s">
        <v>43</v>
      </c>
      <c r="AE46" s="12" t="s">
        <v>44</v>
      </c>
      <c r="AF46" s="14">
        <f t="shared" si="0"/>
        <v>0.1998655</v>
      </c>
      <c r="AG46" s="11" t="s">
        <v>52</v>
      </c>
    </row>
    <row r="47" spans="1:33" x14ac:dyDescent="0.2">
      <c r="A47" s="8">
        <v>9393</v>
      </c>
      <c r="B47" s="9" t="s">
        <v>150</v>
      </c>
      <c r="C47" s="10">
        <v>43521</v>
      </c>
      <c r="D47" s="11">
        <v>64</v>
      </c>
      <c r="E47" s="12" t="s">
        <v>34</v>
      </c>
      <c r="F47" s="12" t="s">
        <v>35</v>
      </c>
      <c r="G47" s="12" t="s">
        <v>35</v>
      </c>
      <c r="H47" s="12" t="s">
        <v>36</v>
      </c>
      <c r="I47" s="11" t="s">
        <v>181</v>
      </c>
      <c r="J47" s="12" t="s">
        <v>182</v>
      </c>
      <c r="K47" s="13" t="s">
        <v>142</v>
      </c>
      <c r="L47" s="11" t="str">
        <f>"000099"</f>
        <v>000099</v>
      </c>
      <c r="M47" s="10">
        <v>43077</v>
      </c>
      <c r="N47" s="11" t="str">
        <f>"000006"</f>
        <v>000006</v>
      </c>
      <c r="O47" s="10">
        <v>43225</v>
      </c>
      <c r="P47" s="11" t="str">
        <f>"000008"</f>
        <v>000008</v>
      </c>
      <c r="Q47" s="10">
        <v>43225</v>
      </c>
      <c r="R47" s="11"/>
      <c r="S47" s="11" t="str">
        <f>"009403"</f>
        <v>009403</v>
      </c>
      <c r="T47" s="10">
        <v>43518</v>
      </c>
      <c r="U47" s="14">
        <v>30.541699999999999</v>
      </c>
      <c r="V47" s="14">
        <v>1.58195</v>
      </c>
      <c r="W47" s="14">
        <v>28.95975</v>
      </c>
      <c r="X47" s="11">
        <v>360</v>
      </c>
      <c r="Y47" s="10">
        <v>43521</v>
      </c>
      <c r="Z47" s="11">
        <v>8022975610</v>
      </c>
      <c r="AA47" s="12" t="s">
        <v>183</v>
      </c>
      <c r="AB47" s="11" t="s">
        <v>50</v>
      </c>
      <c r="AC47" s="12" t="s">
        <v>51</v>
      </c>
      <c r="AD47" s="11" t="s">
        <v>43</v>
      </c>
      <c r="AE47" s="12" t="s">
        <v>44</v>
      </c>
      <c r="AF47" s="14">
        <f t="shared" si="0"/>
        <v>0.30541699999999999</v>
      </c>
      <c r="AG47" s="11" t="s">
        <v>45</v>
      </c>
    </row>
    <row r="48" spans="1:33" x14ac:dyDescent="0.2">
      <c r="A48" s="8">
        <v>9399</v>
      </c>
      <c r="B48" s="9" t="s">
        <v>150</v>
      </c>
      <c r="C48" s="10">
        <v>43524</v>
      </c>
      <c r="D48" s="11">
        <v>64</v>
      </c>
      <c r="E48" s="12" t="s">
        <v>34</v>
      </c>
      <c r="F48" s="12" t="s">
        <v>35</v>
      </c>
      <c r="G48" s="12" t="s">
        <v>35</v>
      </c>
      <c r="H48" s="12" t="s">
        <v>36</v>
      </c>
      <c r="I48" s="11" t="s">
        <v>184</v>
      </c>
      <c r="J48" s="12" t="s">
        <v>185</v>
      </c>
      <c r="K48" s="13" t="s">
        <v>75</v>
      </c>
      <c r="L48" s="11" t="str">
        <f>"000332"</f>
        <v>000332</v>
      </c>
      <c r="M48" s="10">
        <v>43446</v>
      </c>
      <c r="N48" s="11" t="str">
        <f>"000005"</f>
        <v>000005</v>
      </c>
      <c r="O48" s="10">
        <v>43588</v>
      </c>
      <c r="P48" s="11" t="str">
        <f>""</f>
        <v/>
      </c>
      <c r="Q48" s="10"/>
      <c r="R48" s="11"/>
      <c r="S48" s="11" t="str">
        <f>""</f>
        <v/>
      </c>
      <c r="T48" s="10"/>
      <c r="U48" s="14">
        <v>5.4968000000000004</v>
      </c>
      <c r="V48" s="14">
        <v>0.24199999999999999</v>
      </c>
      <c r="W48" s="14">
        <v>5.2548000000000004</v>
      </c>
      <c r="X48" s="11">
        <v>362</v>
      </c>
      <c r="Y48" s="10">
        <v>43524</v>
      </c>
      <c r="Z48" s="11">
        <v>8022975610</v>
      </c>
      <c r="AA48" s="12" t="s">
        <v>186</v>
      </c>
      <c r="AB48" s="11" t="s">
        <v>108</v>
      </c>
      <c r="AC48" s="12" t="s">
        <v>109</v>
      </c>
      <c r="AD48" s="11" t="s">
        <v>43</v>
      </c>
      <c r="AE48" s="12" t="s">
        <v>44</v>
      </c>
      <c r="AF48" s="14">
        <f t="shared" si="0"/>
        <v>5.4968000000000003E-2</v>
      </c>
      <c r="AG48" s="11" t="s">
        <v>45</v>
      </c>
    </row>
    <row r="49" spans="1:33" x14ac:dyDescent="0.2">
      <c r="A49" s="8">
        <v>9504</v>
      </c>
      <c r="B49" s="9" t="s">
        <v>187</v>
      </c>
      <c r="C49" s="10">
        <v>43531</v>
      </c>
      <c r="D49" s="11">
        <v>64</v>
      </c>
      <c r="E49" s="12" t="s">
        <v>34</v>
      </c>
      <c r="F49" s="12" t="s">
        <v>35</v>
      </c>
      <c r="G49" s="12" t="s">
        <v>35</v>
      </c>
      <c r="H49" s="12" t="s">
        <v>36</v>
      </c>
      <c r="I49" s="11" t="s">
        <v>188</v>
      </c>
      <c r="J49" s="12" t="s">
        <v>189</v>
      </c>
      <c r="K49" s="13" t="s">
        <v>71</v>
      </c>
      <c r="L49" s="11" t="str">
        <f>"000313"</f>
        <v>000313</v>
      </c>
      <c r="M49" s="10">
        <v>43413</v>
      </c>
      <c r="N49" s="11" t="str">
        <f>"000079"</f>
        <v>000079</v>
      </c>
      <c r="O49" s="10">
        <v>43439</v>
      </c>
      <c r="P49" s="11" t="str">
        <f>"000238"</f>
        <v>000238</v>
      </c>
      <c r="Q49" s="10">
        <v>43449</v>
      </c>
      <c r="R49" s="11"/>
      <c r="S49" s="11" t="str">
        <f>"009616"</f>
        <v>009616</v>
      </c>
      <c r="T49" s="10">
        <v>43529</v>
      </c>
      <c r="U49" s="14">
        <v>1.46455</v>
      </c>
      <c r="V49" s="14">
        <v>0.14835000000000001</v>
      </c>
      <c r="W49" s="14">
        <v>1.3162</v>
      </c>
      <c r="X49" s="11">
        <v>369</v>
      </c>
      <c r="Y49" s="10">
        <v>43531</v>
      </c>
      <c r="Z49" s="11">
        <v>8022975610</v>
      </c>
      <c r="AA49" s="12" t="s">
        <v>107</v>
      </c>
      <c r="AB49" s="11" t="s">
        <v>108</v>
      </c>
      <c r="AC49" s="12" t="s">
        <v>109</v>
      </c>
      <c r="AD49" s="11" t="s">
        <v>43</v>
      </c>
      <c r="AE49" s="12" t="s">
        <v>44</v>
      </c>
      <c r="AF49" s="14">
        <f t="shared" si="0"/>
        <v>1.4645500000000001E-2</v>
      </c>
      <c r="AG49" s="11" t="s">
        <v>110</v>
      </c>
    </row>
    <row r="50" spans="1:33" x14ac:dyDescent="0.2">
      <c r="A50" s="8">
        <v>9575</v>
      </c>
      <c r="B50" s="9" t="s">
        <v>187</v>
      </c>
      <c r="C50" s="10">
        <v>43531</v>
      </c>
      <c r="D50" s="11">
        <v>64</v>
      </c>
      <c r="E50" s="12" t="s">
        <v>34</v>
      </c>
      <c r="F50" s="12" t="s">
        <v>35</v>
      </c>
      <c r="G50" s="12" t="s">
        <v>35</v>
      </c>
      <c r="H50" s="12" t="s">
        <v>36</v>
      </c>
      <c r="I50" s="11" t="s">
        <v>190</v>
      </c>
      <c r="J50" s="12" t="s">
        <v>191</v>
      </c>
      <c r="K50" s="13" t="s">
        <v>75</v>
      </c>
      <c r="L50" s="11" t="str">
        <f>"000068"</f>
        <v>000068</v>
      </c>
      <c r="M50" s="10">
        <v>42902</v>
      </c>
      <c r="N50" s="11" t="str">
        <f>"000046"</f>
        <v>000046</v>
      </c>
      <c r="O50" s="10">
        <v>42916</v>
      </c>
      <c r="P50" s="11" t="str">
        <f>"000093"</f>
        <v>000093</v>
      </c>
      <c r="Q50" s="10">
        <v>42916</v>
      </c>
      <c r="R50" s="11"/>
      <c r="S50" s="11" t="str">
        <f>"009590"</f>
        <v>009590</v>
      </c>
      <c r="T50" s="10">
        <v>43529</v>
      </c>
      <c r="U50" s="14">
        <v>49.939950000000003</v>
      </c>
      <c r="V50" s="14">
        <v>6.4615</v>
      </c>
      <c r="W50" s="14">
        <v>43.478450000000002</v>
      </c>
      <c r="X50" s="11">
        <v>370</v>
      </c>
      <c r="Y50" s="10">
        <v>43531</v>
      </c>
      <c r="Z50" s="11">
        <v>9986733330</v>
      </c>
      <c r="AA50" s="12" t="s">
        <v>192</v>
      </c>
      <c r="AB50" s="11" t="s">
        <v>177</v>
      </c>
      <c r="AC50" s="12" t="s">
        <v>178</v>
      </c>
      <c r="AD50" s="11" t="s">
        <v>43</v>
      </c>
      <c r="AE50" s="12" t="s">
        <v>44</v>
      </c>
      <c r="AF50" s="14">
        <f t="shared" si="0"/>
        <v>0.49939950000000005</v>
      </c>
      <c r="AG50" s="11" t="s">
        <v>52</v>
      </c>
    </row>
    <row r="51" spans="1:33" x14ac:dyDescent="0.2">
      <c r="A51" s="8">
        <v>9576</v>
      </c>
      <c r="B51" s="9" t="s">
        <v>187</v>
      </c>
      <c r="C51" s="10">
        <v>43531</v>
      </c>
      <c r="D51" s="11">
        <v>64</v>
      </c>
      <c r="E51" s="12" t="s">
        <v>34</v>
      </c>
      <c r="F51" s="12" t="s">
        <v>35</v>
      </c>
      <c r="G51" s="12" t="s">
        <v>35</v>
      </c>
      <c r="H51" s="12" t="s">
        <v>36</v>
      </c>
      <c r="I51" s="11" t="s">
        <v>193</v>
      </c>
      <c r="J51" s="12" t="s">
        <v>194</v>
      </c>
      <c r="K51" s="13" t="s">
        <v>75</v>
      </c>
      <c r="L51" s="11" t="str">
        <f>"000066"</f>
        <v>000066</v>
      </c>
      <c r="M51" s="10">
        <v>42902</v>
      </c>
      <c r="N51" s="11" t="str">
        <f>"000039"</f>
        <v>000039</v>
      </c>
      <c r="O51" s="10">
        <v>42916</v>
      </c>
      <c r="P51" s="11" t="str">
        <f>"000094"</f>
        <v>000094</v>
      </c>
      <c r="Q51" s="10">
        <v>42916</v>
      </c>
      <c r="R51" s="11"/>
      <c r="S51" s="11" t="str">
        <f>"009591"</f>
        <v>009591</v>
      </c>
      <c r="T51" s="10">
        <v>43529</v>
      </c>
      <c r="U51" s="14">
        <v>49.966999999999999</v>
      </c>
      <c r="V51" s="14">
        <v>6.4697500000000003</v>
      </c>
      <c r="W51" s="14">
        <v>43.497250000000001</v>
      </c>
      <c r="X51" s="11">
        <v>370</v>
      </c>
      <c r="Y51" s="10">
        <v>43531</v>
      </c>
      <c r="Z51" s="11">
        <v>9986733330</v>
      </c>
      <c r="AA51" s="12" t="s">
        <v>153</v>
      </c>
      <c r="AB51" s="11" t="s">
        <v>177</v>
      </c>
      <c r="AC51" s="12" t="s">
        <v>178</v>
      </c>
      <c r="AD51" s="11" t="s">
        <v>43</v>
      </c>
      <c r="AE51" s="12" t="s">
        <v>44</v>
      </c>
      <c r="AF51" s="14">
        <f t="shared" si="0"/>
        <v>0.49967</v>
      </c>
      <c r="AG51" s="11" t="s">
        <v>52</v>
      </c>
    </row>
    <row r="52" spans="1:33" x14ac:dyDescent="0.2">
      <c r="A52" s="8">
        <v>9577</v>
      </c>
      <c r="B52" s="9" t="s">
        <v>187</v>
      </c>
      <c r="C52" s="10">
        <v>43531</v>
      </c>
      <c r="D52" s="11">
        <v>64</v>
      </c>
      <c r="E52" s="12" t="s">
        <v>34</v>
      </c>
      <c r="F52" s="12" t="s">
        <v>35</v>
      </c>
      <c r="G52" s="12" t="s">
        <v>35</v>
      </c>
      <c r="H52" s="12" t="s">
        <v>36</v>
      </c>
      <c r="I52" s="11" t="s">
        <v>195</v>
      </c>
      <c r="J52" s="12" t="s">
        <v>196</v>
      </c>
      <c r="K52" s="13" t="s">
        <v>75</v>
      </c>
      <c r="L52" s="11" t="str">
        <f>"000067"</f>
        <v>000067</v>
      </c>
      <c r="M52" s="10">
        <v>42902</v>
      </c>
      <c r="N52" s="11" t="str">
        <f>"000038"</f>
        <v>000038</v>
      </c>
      <c r="O52" s="10">
        <v>42916</v>
      </c>
      <c r="P52" s="11" t="str">
        <f>"000095"</f>
        <v>000095</v>
      </c>
      <c r="Q52" s="10">
        <v>42916</v>
      </c>
      <c r="R52" s="11"/>
      <c r="S52" s="11" t="str">
        <f>"009592"</f>
        <v>009592</v>
      </c>
      <c r="T52" s="10">
        <v>43529</v>
      </c>
      <c r="U52" s="14">
        <v>49.921599999999998</v>
      </c>
      <c r="V52" s="14">
        <v>6.4792500000000004</v>
      </c>
      <c r="W52" s="14">
        <v>43.442349999999998</v>
      </c>
      <c r="X52" s="11">
        <v>370</v>
      </c>
      <c r="Y52" s="10">
        <v>43531</v>
      </c>
      <c r="Z52" s="11">
        <v>9986733330</v>
      </c>
      <c r="AA52" s="12" t="s">
        <v>192</v>
      </c>
      <c r="AB52" s="11" t="s">
        <v>177</v>
      </c>
      <c r="AC52" s="12" t="s">
        <v>178</v>
      </c>
      <c r="AD52" s="11" t="s">
        <v>43</v>
      </c>
      <c r="AE52" s="12" t="s">
        <v>44</v>
      </c>
      <c r="AF52" s="14">
        <f t="shared" si="0"/>
        <v>0.49921599999999999</v>
      </c>
      <c r="AG52" s="11" t="s">
        <v>52</v>
      </c>
    </row>
    <row r="53" spans="1:33" x14ac:dyDescent="0.2">
      <c r="A53" s="8">
        <v>9578</v>
      </c>
      <c r="B53" s="9" t="s">
        <v>187</v>
      </c>
      <c r="C53" s="10">
        <v>43531</v>
      </c>
      <c r="D53" s="11">
        <v>64</v>
      </c>
      <c r="E53" s="12" t="s">
        <v>34</v>
      </c>
      <c r="F53" s="12" t="s">
        <v>35</v>
      </c>
      <c r="G53" s="12" t="s">
        <v>35</v>
      </c>
      <c r="H53" s="12" t="s">
        <v>36</v>
      </c>
      <c r="I53" s="11" t="s">
        <v>197</v>
      </c>
      <c r="J53" s="12" t="s">
        <v>198</v>
      </c>
      <c r="K53" s="13" t="s">
        <v>39</v>
      </c>
      <c r="L53" s="11" t="str">
        <f>"000027"</f>
        <v>000027</v>
      </c>
      <c r="M53" s="10">
        <v>42870</v>
      </c>
      <c r="N53" s="11" t="str">
        <f>"000033"</f>
        <v>000033</v>
      </c>
      <c r="O53" s="10">
        <v>42916</v>
      </c>
      <c r="P53" s="11" t="str">
        <f>"000096"</f>
        <v>000096</v>
      </c>
      <c r="Q53" s="10">
        <v>42916</v>
      </c>
      <c r="R53" s="11"/>
      <c r="S53" s="11" t="str">
        <f>"009593"</f>
        <v>009593</v>
      </c>
      <c r="T53" s="10">
        <v>43529</v>
      </c>
      <c r="U53" s="14">
        <v>9.9931999999999999</v>
      </c>
      <c r="V53" s="14">
        <v>1.2925</v>
      </c>
      <c r="W53" s="14">
        <v>8.7006999999999994</v>
      </c>
      <c r="X53" s="11">
        <v>370</v>
      </c>
      <c r="Y53" s="10">
        <v>43531</v>
      </c>
      <c r="Z53" s="11">
        <v>9986733330</v>
      </c>
      <c r="AA53" s="12" t="s">
        <v>164</v>
      </c>
      <c r="AB53" s="11" t="s">
        <v>160</v>
      </c>
      <c r="AC53" s="12" t="s">
        <v>161</v>
      </c>
      <c r="AD53" s="11" t="s">
        <v>43</v>
      </c>
      <c r="AE53" s="12" t="s">
        <v>44</v>
      </c>
      <c r="AF53" s="14">
        <f t="shared" si="0"/>
        <v>9.9931999999999993E-2</v>
      </c>
      <c r="AG53" s="11" t="s">
        <v>52</v>
      </c>
    </row>
    <row r="54" spans="1:33" x14ac:dyDescent="0.2">
      <c r="A54" s="8">
        <v>9579</v>
      </c>
      <c r="B54" s="9" t="s">
        <v>187</v>
      </c>
      <c r="C54" s="10">
        <v>43531</v>
      </c>
      <c r="D54" s="11">
        <v>64</v>
      </c>
      <c r="E54" s="12" t="s">
        <v>34</v>
      </c>
      <c r="F54" s="12" t="s">
        <v>35</v>
      </c>
      <c r="G54" s="12" t="s">
        <v>35</v>
      </c>
      <c r="H54" s="12" t="s">
        <v>36</v>
      </c>
      <c r="I54" s="11" t="s">
        <v>199</v>
      </c>
      <c r="J54" s="12" t="s">
        <v>200</v>
      </c>
      <c r="K54" s="13" t="s">
        <v>82</v>
      </c>
      <c r="L54" s="11" t="str">
        <f>"000065"</f>
        <v>000065</v>
      </c>
      <c r="M54" s="10">
        <v>42902</v>
      </c>
      <c r="N54" s="11" t="str">
        <f>"000034"</f>
        <v>000034</v>
      </c>
      <c r="O54" s="10">
        <v>42916</v>
      </c>
      <c r="P54" s="11" t="str">
        <f>"000097"</f>
        <v>000097</v>
      </c>
      <c r="Q54" s="10">
        <v>42916</v>
      </c>
      <c r="R54" s="11"/>
      <c r="S54" s="11" t="str">
        <f>"009594"</f>
        <v>009594</v>
      </c>
      <c r="T54" s="10">
        <v>43529</v>
      </c>
      <c r="U54" s="14">
        <v>9.9922000000000004</v>
      </c>
      <c r="V54" s="14">
        <v>1.2597499999999999</v>
      </c>
      <c r="W54" s="14">
        <v>8.73245</v>
      </c>
      <c r="X54" s="11">
        <v>370</v>
      </c>
      <c r="Y54" s="10">
        <v>43531</v>
      </c>
      <c r="Z54" s="11">
        <v>9986733330</v>
      </c>
      <c r="AA54" s="12" t="s">
        <v>153</v>
      </c>
      <c r="AB54" s="11" t="s">
        <v>177</v>
      </c>
      <c r="AC54" s="12" t="s">
        <v>178</v>
      </c>
      <c r="AD54" s="11" t="s">
        <v>43</v>
      </c>
      <c r="AE54" s="12" t="s">
        <v>44</v>
      </c>
      <c r="AF54" s="14">
        <f t="shared" si="0"/>
        <v>9.9922000000000011E-2</v>
      </c>
      <c r="AG54" s="11" t="s">
        <v>52</v>
      </c>
    </row>
    <row r="55" spans="1:33" x14ac:dyDescent="0.2">
      <c r="A55" s="8">
        <v>9925</v>
      </c>
      <c r="B55" s="9" t="s">
        <v>187</v>
      </c>
      <c r="C55" s="10">
        <v>43552</v>
      </c>
      <c r="D55" s="11">
        <v>64</v>
      </c>
      <c r="E55" s="12" t="s">
        <v>34</v>
      </c>
      <c r="F55" s="12" t="s">
        <v>35</v>
      </c>
      <c r="G55" s="12" t="s">
        <v>35</v>
      </c>
      <c r="H55" s="12" t="s">
        <v>36</v>
      </c>
      <c r="I55" s="11" t="s">
        <v>201</v>
      </c>
      <c r="J55" s="12" t="s">
        <v>202</v>
      </c>
      <c r="K55" s="13" t="s">
        <v>133</v>
      </c>
      <c r="L55" s="11" t="str">
        <f>"000021"</f>
        <v>000021</v>
      </c>
      <c r="M55" s="10">
        <v>42870</v>
      </c>
      <c r="N55" s="11" t="str">
        <f>"000020"</f>
        <v>000020</v>
      </c>
      <c r="O55" s="10">
        <v>42916</v>
      </c>
      <c r="P55" s="11" t="str">
        <f>"000072"</f>
        <v>000072</v>
      </c>
      <c r="Q55" s="10">
        <v>42916</v>
      </c>
      <c r="R55" s="11"/>
      <c r="S55" s="11" t="str">
        <f>"009931"</f>
        <v>009931</v>
      </c>
      <c r="T55" s="10">
        <v>43549</v>
      </c>
      <c r="U55" s="14">
        <v>9.3993500000000001</v>
      </c>
      <c r="V55" s="14">
        <v>0.60760000000000003</v>
      </c>
      <c r="W55" s="14">
        <v>8.7917500000000004</v>
      </c>
      <c r="X55" s="11">
        <v>388</v>
      </c>
      <c r="Y55" s="10">
        <v>43552</v>
      </c>
      <c r="Z55" s="11">
        <v>8022975610</v>
      </c>
      <c r="AA55" s="12" t="s">
        <v>134</v>
      </c>
      <c r="AB55" s="11" t="s">
        <v>50</v>
      </c>
      <c r="AC55" s="12" t="s">
        <v>51</v>
      </c>
      <c r="AD55" s="11" t="s">
        <v>43</v>
      </c>
      <c r="AE55" s="12" t="s">
        <v>44</v>
      </c>
      <c r="AF55" s="14">
        <f t="shared" si="0"/>
        <v>9.3993500000000008E-2</v>
      </c>
      <c r="AG55" s="11" t="s">
        <v>52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2019-06-13T07:43:07Z</dcterms:modified>
</cp:coreProperties>
</file>