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84" i="1" l="1"/>
  <c r="S84" i="1"/>
  <c r="P84" i="1"/>
  <c r="N84" i="1"/>
  <c r="L84" i="1"/>
  <c r="AF83" i="1"/>
  <c r="S83" i="1"/>
  <c r="P83" i="1"/>
  <c r="N83" i="1"/>
  <c r="L83" i="1"/>
  <c r="AF82" i="1"/>
  <c r="S82" i="1"/>
  <c r="P82" i="1"/>
  <c r="N82" i="1"/>
  <c r="L82" i="1"/>
  <c r="AF81" i="1"/>
  <c r="S81" i="1"/>
  <c r="P81" i="1"/>
  <c r="N81" i="1"/>
  <c r="L81" i="1"/>
  <c r="AF80" i="1"/>
  <c r="S80" i="1"/>
  <c r="P80" i="1"/>
  <c r="N80" i="1"/>
  <c r="L80" i="1"/>
  <c r="AF79" i="1"/>
  <c r="S79" i="1"/>
  <c r="P79" i="1"/>
  <c r="N79" i="1"/>
  <c r="L79" i="1"/>
  <c r="AF78" i="1"/>
  <c r="S78" i="1"/>
  <c r="P78" i="1"/>
  <c r="N78" i="1"/>
  <c r="L78" i="1"/>
  <c r="AF77" i="1"/>
  <c r="S77" i="1"/>
  <c r="P77" i="1"/>
  <c r="N77" i="1"/>
  <c r="L77" i="1"/>
  <c r="AF76" i="1"/>
  <c r="S76" i="1"/>
  <c r="P76" i="1"/>
  <c r="N76" i="1"/>
  <c r="L76" i="1"/>
  <c r="AF75" i="1"/>
  <c r="S75" i="1"/>
  <c r="P75" i="1"/>
  <c r="N75" i="1"/>
  <c r="L75" i="1"/>
  <c r="AF74" i="1"/>
  <c r="S74" i="1"/>
  <c r="P74" i="1"/>
  <c r="N74" i="1"/>
  <c r="L74" i="1"/>
  <c r="AF73" i="1"/>
  <c r="S73" i="1"/>
  <c r="P73" i="1"/>
  <c r="N73" i="1"/>
  <c r="L73" i="1"/>
  <c r="AF72" i="1"/>
  <c r="S72" i="1"/>
  <c r="P72" i="1"/>
  <c r="N72" i="1"/>
  <c r="L72" i="1"/>
  <c r="AF71" i="1"/>
  <c r="S71" i="1"/>
  <c r="P71" i="1"/>
  <c r="N71" i="1"/>
  <c r="L71" i="1"/>
  <c r="AF70" i="1"/>
  <c r="S70" i="1"/>
  <c r="P70" i="1"/>
  <c r="N70" i="1"/>
  <c r="L70" i="1"/>
  <c r="AF69" i="1"/>
  <c r="S69" i="1"/>
  <c r="P69" i="1"/>
  <c r="N69" i="1"/>
  <c r="L69" i="1"/>
  <c r="AF68" i="1"/>
  <c r="S68" i="1"/>
  <c r="P68" i="1"/>
  <c r="N68" i="1"/>
  <c r="L68" i="1"/>
  <c r="AF67" i="1"/>
  <c r="S67" i="1"/>
  <c r="P67" i="1"/>
  <c r="N67" i="1"/>
  <c r="L67" i="1"/>
  <c r="AF66" i="1"/>
  <c r="S66" i="1"/>
  <c r="P66" i="1"/>
  <c r="N66" i="1"/>
  <c r="L66" i="1"/>
  <c r="AF65" i="1"/>
  <c r="S65" i="1"/>
  <c r="P65" i="1"/>
  <c r="N65" i="1"/>
  <c r="L65" i="1"/>
  <c r="AF64" i="1"/>
  <c r="S64" i="1"/>
  <c r="P64" i="1"/>
  <c r="N64" i="1"/>
  <c r="L64" i="1"/>
  <c r="AF63" i="1"/>
  <c r="S63" i="1"/>
  <c r="P63" i="1"/>
  <c r="N63" i="1"/>
  <c r="L63" i="1"/>
  <c r="AF62" i="1"/>
  <c r="S62" i="1"/>
  <c r="P62" i="1"/>
  <c r="N62" i="1"/>
  <c r="L62" i="1"/>
  <c r="AF61" i="1"/>
  <c r="S61" i="1"/>
  <c r="P61" i="1"/>
  <c r="N61" i="1"/>
  <c r="L61" i="1"/>
  <c r="AF60" i="1"/>
  <c r="S60" i="1"/>
  <c r="P60" i="1"/>
  <c r="N60" i="1"/>
  <c r="L60" i="1"/>
  <c r="AF59" i="1"/>
  <c r="S59" i="1"/>
  <c r="P59" i="1"/>
  <c r="N59" i="1"/>
  <c r="L59" i="1"/>
  <c r="AF58" i="1"/>
  <c r="S58" i="1"/>
  <c r="P58" i="1"/>
  <c r="N58" i="1"/>
  <c r="L58" i="1"/>
  <c r="AF57" i="1"/>
  <c r="S57" i="1"/>
  <c r="P57" i="1"/>
  <c r="N57" i="1"/>
  <c r="L57" i="1"/>
  <c r="AF56" i="1"/>
  <c r="S56" i="1"/>
  <c r="P56" i="1"/>
  <c r="N56" i="1"/>
  <c r="L56" i="1"/>
  <c r="AF55" i="1"/>
  <c r="S55" i="1"/>
  <c r="P55" i="1"/>
  <c r="N55" i="1"/>
  <c r="L55" i="1"/>
  <c r="AF54" i="1"/>
  <c r="S54" i="1"/>
  <c r="P54" i="1"/>
  <c r="N54" i="1"/>
  <c r="L54" i="1"/>
  <c r="AF53" i="1"/>
  <c r="S53" i="1"/>
  <c r="P53" i="1"/>
  <c r="N53" i="1"/>
  <c r="L53" i="1"/>
  <c r="AF52" i="1"/>
  <c r="S52" i="1"/>
  <c r="P52" i="1"/>
  <c r="N52" i="1"/>
  <c r="L52" i="1"/>
  <c r="AF51" i="1"/>
  <c r="S51" i="1"/>
  <c r="P51" i="1"/>
  <c r="N51" i="1"/>
  <c r="L51" i="1"/>
  <c r="AF50" i="1"/>
  <c r="S50" i="1"/>
  <c r="P50" i="1"/>
  <c r="N50" i="1"/>
  <c r="L50" i="1"/>
  <c r="AF49" i="1"/>
  <c r="S49" i="1"/>
  <c r="P49" i="1"/>
  <c r="N49" i="1"/>
  <c r="L49" i="1"/>
  <c r="AF48" i="1"/>
  <c r="S48" i="1"/>
  <c r="P48" i="1"/>
  <c r="N48" i="1"/>
  <c r="L48" i="1"/>
  <c r="AF47" i="1"/>
  <c r="S47" i="1"/>
  <c r="P47" i="1"/>
  <c r="N47" i="1"/>
  <c r="L47" i="1"/>
  <c r="AF46" i="1"/>
  <c r="S46" i="1"/>
  <c r="P46" i="1"/>
  <c r="N46" i="1"/>
  <c r="L46" i="1"/>
  <c r="S45" i="1"/>
  <c r="P45" i="1"/>
  <c r="N45" i="1"/>
  <c r="L45" i="1"/>
  <c r="S44" i="1"/>
  <c r="P44" i="1"/>
  <c r="N44" i="1"/>
  <c r="L44" i="1"/>
  <c r="S43" i="1"/>
  <c r="P43" i="1"/>
  <c r="N43" i="1"/>
  <c r="L43" i="1"/>
  <c r="S42" i="1"/>
  <c r="P42" i="1"/>
  <c r="N42" i="1"/>
  <c r="L42" i="1"/>
  <c r="S41" i="1"/>
  <c r="P41" i="1"/>
  <c r="N41" i="1"/>
  <c r="L41" i="1"/>
  <c r="S40" i="1"/>
  <c r="P40" i="1"/>
  <c r="N40" i="1"/>
  <c r="L40" i="1"/>
  <c r="S39" i="1"/>
  <c r="P39" i="1"/>
  <c r="N39" i="1"/>
  <c r="L39" i="1"/>
  <c r="S38" i="1"/>
  <c r="P38" i="1"/>
  <c r="N38" i="1"/>
  <c r="L38" i="1"/>
  <c r="S37" i="1"/>
  <c r="P37" i="1"/>
  <c r="N37" i="1"/>
  <c r="L37" i="1"/>
  <c r="S36" i="1"/>
  <c r="P36" i="1"/>
  <c r="N36" i="1"/>
  <c r="L36" i="1"/>
  <c r="S35" i="1"/>
  <c r="P35" i="1"/>
  <c r="N35" i="1"/>
  <c r="L35" i="1"/>
  <c r="S34" i="1"/>
  <c r="P34" i="1"/>
  <c r="N34" i="1"/>
  <c r="L34" i="1"/>
  <c r="S33" i="1"/>
  <c r="P33" i="1"/>
  <c r="N33" i="1"/>
  <c r="L33" i="1"/>
  <c r="S32" i="1"/>
  <c r="P32" i="1"/>
  <c r="N32" i="1"/>
  <c r="L32" i="1"/>
  <c r="S31" i="1"/>
  <c r="P31" i="1"/>
  <c r="N31" i="1"/>
  <c r="L31" i="1"/>
  <c r="S30" i="1"/>
  <c r="P30" i="1"/>
  <c r="N30" i="1"/>
  <c r="L30" i="1"/>
  <c r="S29" i="1"/>
  <c r="P29" i="1"/>
  <c r="N29" i="1"/>
  <c r="L29" i="1"/>
  <c r="S28" i="1"/>
  <c r="P28" i="1"/>
  <c r="N28" i="1"/>
  <c r="L28" i="1"/>
  <c r="S27" i="1"/>
  <c r="P27" i="1"/>
  <c r="N27" i="1"/>
  <c r="L27" i="1"/>
  <c r="S26" i="1"/>
  <c r="P26" i="1"/>
  <c r="N26" i="1"/>
  <c r="L26" i="1"/>
  <c r="S25" i="1"/>
  <c r="P25" i="1"/>
  <c r="N25" i="1"/>
  <c r="L25" i="1"/>
  <c r="S24" i="1"/>
  <c r="P24" i="1"/>
  <c r="N24" i="1"/>
  <c r="L24" i="1"/>
  <c r="S23" i="1"/>
  <c r="P23" i="1"/>
  <c r="N23" i="1"/>
  <c r="L23" i="1"/>
  <c r="S22" i="1"/>
  <c r="P22" i="1"/>
  <c r="N22" i="1"/>
  <c r="L22" i="1"/>
  <c r="S21" i="1"/>
  <c r="P21" i="1"/>
  <c r="N21" i="1"/>
  <c r="L21" i="1"/>
  <c r="S20" i="1"/>
  <c r="P20" i="1"/>
  <c r="N20" i="1"/>
  <c r="L20" i="1"/>
  <c r="S19" i="1"/>
  <c r="P19" i="1"/>
  <c r="N19" i="1"/>
  <c r="L19" i="1"/>
  <c r="S18" i="1"/>
  <c r="P18" i="1"/>
  <c r="N18" i="1"/>
  <c r="L18" i="1"/>
  <c r="S17" i="1"/>
  <c r="P17" i="1"/>
  <c r="N17" i="1"/>
  <c r="L17" i="1"/>
  <c r="S16" i="1"/>
  <c r="P16" i="1"/>
  <c r="N16" i="1"/>
  <c r="L16" i="1"/>
  <c r="S15" i="1"/>
  <c r="P15" i="1"/>
  <c r="N15" i="1"/>
  <c r="L15" i="1"/>
  <c r="S14" i="1"/>
  <c r="P14" i="1"/>
  <c r="N14" i="1"/>
  <c r="L14" i="1"/>
  <c r="S13" i="1"/>
  <c r="P13" i="1"/>
  <c r="N13" i="1"/>
  <c r="L13"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<sst xmlns="http://schemas.openxmlformats.org/spreadsheetml/2006/main" count="1195" uniqueCount="278">
  <si>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</si>
  <si>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</si>
  <si>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</si>
  <si>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</si>
  <si>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</si>
  <si>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</si>
  <si>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</si>
  <si>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</si>
  <si>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</si>
  <si>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</si>
  <si>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</si>
  <si>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</si>
  <si>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</si>
  <si>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</si>
  <si>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</si>
  <si>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</si>
  <si>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</si>
  <si>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</si>
  <si>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</si>
  <si>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</si>
  <si>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</si>
  <si>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</si>
  <si>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</si>
  <si>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</si>
  <si>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</si>
  <si>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</si>
  <si>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</si>
  <si>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</si>
  <si>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</si>
  <si>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</si>
  <si>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</si>
  <si>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</si>
  <si>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</si>
  <si>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April</t>
  </si>
  <si>
    <t>Byatarayana Pura</t>
  </si>
  <si>
    <t>Yelahanka</t>
  </si>
  <si>
    <t>007-16-000043</t>
  </si>
  <si>
    <t>Consultancy Services for Preparation of DPR (which includes Survey,Designs, Drawing, Estimate etc.,) for Package No.02 (package consists of 21 works of Rs.740.00 Lakhs)</t>
  </si>
  <si>
    <t>Other Ward Works</t>
  </si>
  <si>
    <t>M/s Tejus Consultants</t>
  </si>
  <si>
    <t>P3106</t>
  </si>
  <si>
    <t>Nagarothana Works</t>
  </si>
  <si>
    <t>ddo475</t>
  </si>
  <si>
    <t xml:space="preserve"> Assistant Executive Engineer Virupakshapura Sub division Yelhanka Zone</t>
  </si>
  <si>
    <t>Pending</t>
  </si>
  <si>
    <t>007-16-000035</t>
  </si>
  <si>
    <t>Consultancy Services for Preparation of DPR (Which includes Survey Designs, Drawing,Estimate etc.,) and for Project Management Consultancy for Package No.02 (package Consists of 09 Works of Rs.450.00 lakhs)</t>
  </si>
  <si>
    <t>P3089</t>
  </si>
  <si>
    <t>Special Development works in 7 CMC and 1 TMC area in BBMP</t>
  </si>
  <si>
    <t>ddo226</t>
  </si>
  <si>
    <t xml:space="preserve"> Assistant Executive Engineer Dasarahalli Yelhanka Zone</t>
  </si>
  <si>
    <t>M/s. Ram and company, C.R. Girish</t>
  </si>
  <si>
    <t>007-17-000004</t>
  </si>
  <si>
    <t>Improvement to drains from L and T Compound to Byatarayanapura in in ward no 7 Byatarayanapura</t>
  </si>
  <si>
    <t>Footpaths &amp; Walkability</t>
  </si>
  <si>
    <t>Executive Engineer,Karnataka Rural Infrastructure Development Ltd</t>
  </si>
  <si>
    <t>P3111</t>
  </si>
  <si>
    <t>State Finance Commission Untied Grant Works</t>
  </si>
  <si>
    <t>007-17-000038</t>
  </si>
  <si>
    <t>Providing drinking water works in Ward No 7 in Byatarayanpura Division</t>
  </si>
  <si>
    <t>Drinking Water</t>
  </si>
  <si>
    <t>S Mohan Reddy</t>
  </si>
  <si>
    <t>P3110</t>
  </si>
  <si>
    <t>14th Finance Commission Grant Works</t>
  </si>
  <si>
    <t>May</t>
  </si>
  <si>
    <t>D. Narahari, Benaka Developers and Project Pvt, Ltd.,</t>
  </si>
  <si>
    <t>007-16-000031</t>
  </si>
  <si>
    <t>PACKAGE 2IMPROVEMENTS TO ROADS AND DRAINS IN WARD NO 7 AND 8 BYTARAYANAPURA DIVISION AS PER ANNEXURE TO G O NO UDD 449 SFC 2015 DATED 24 11 2015 WORKS SL NO FOR WARD NO 791 92 99 100 110 112 114 115WARD NO 8119 120 122 TO 126128 129</t>
  </si>
  <si>
    <t>Roads &amp; Drivablility</t>
  </si>
  <si>
    <t>G N Ramesh</t>
  </si>
  <si>
    <t>007-16-000005</t>
  </si>
  <si>
    <t>Improvements to Roads and Drains in Sanjeevini Nagar area Amruthahalli in ward no 7 Kodigehalli Sub Division</t>
  </si>
  <si>
    <t>M S Venkatesh</t>
  </si>
  <si>
    <t>007-16-000020</t>
  </si>
  <si>
    <t>Construction of Roads and Drains in Jakkur S C Colony in Ward No 7 Byatarayanapura</t>
  </si>
  <si>
    <t>Akhilesh P</t>
  </si>
  <si>
    <t>P1771</t>
  </si>
  <si>
    <t>Zone Works - POW Works</t>
  </si>
  <si>
    <t>June</t>
  </si>
  <si>
    <t>007-18-000065</t>
  </si>
  <si>
    <t>Providing Energy efficient LED Street l;ights and control switches and connected accessories in ward no 07 Byatarayanapura</t>
  </si>
  <si>
    <t>M/s KRIDL</t>
  </si>
  <si>
    <t>P3290</t>
  </si>
  <si>
    <t>14th Finance Commission Works - Providing Street Lights and Maintenance</t>
  </si>
  <si>
    <t>ddo617</t>
  </si>
  <si>
    <t xml:space="preserve"> Executive Engineer Electrical Yelhanka Zone</t>
  </si>
  <si>
    <t>007-18-000066</t>
  </si>
  <si>
    <t>Providing Special repairs to Coffee board L-O Park pathway lighting in ward no 07 Byatarayanapura</t>
  </si>
  <si>
    <t>Trees, Parks &amp; Playgrounds</t>
  </si>
  <si>
    <t>Technical manager</t>
  </si>
  <si>
    <t>007-15-000005</t>
  </si>
  <si>
    <t>Details Estimate for water supply to Drilling of Borewells Erection of pump motor in Amruthahalli in ward No 7 Byatarayanapura Kodigehalli Sub Division</t>
  </si>
  <si>
    <t>Water &amp; Sanitary</t>
  </si>
  <si>
    <t>B M Muniraju S S Constructions</t>
  </si>
  <si>
    <t>P1802</t>
  </si>
  <si>
    <t>Water Supply New Areas</t>
  </si>
  <si>
    <t>007-15-000010</t>
  </si>
  <si>
    <t>Detail Estimate for Emergency drinking water supply in 6000 Its capacity water tankar in Kariyanna Badavane Veerannapalya Vayunandana layout Mariyanna Palya and Chiranjeevi layout in ward No 7 Byatarayanapura Kodigehalli Sub Division</t>
  </si>
  <si>
    <t>007-16-000022</t>
  </si>
  <si>
    <t>Revenue building maintainence Paints and Electricfication in Jakkur Village Ward No 7 Byatarayanapura</t>
  </si>
  <si>
    <t>July</t>
  </si>
  <si>
    <t>007-12-000067</t>
  </si>
  <si>
    <t>Emergency Repairs to the Furnace Exaust blower and its accessories of Electrical Cremetorium at Hebbal, Kempapura</t>
  </si>
  <si>
    <t>M/S Shree Shanmukha Engineers</t>
  </si>
  <si>
    <t>P0287</t>
  </si>
  <si>
    <t>M and R to Electrical Crematoria</t>
  </si>
  <si>
    <t>007-13-000038</t>
  </si>
  <si>
    <t>Emergency Repairs to the Electrical Cremetorium at Hebbal Kempapura</t>
  </si>
  <si>
    <t>M/S Sree Shanmukha Engineers</t>
  </si>
  <si>
    <t>007-16-000010</t>
  </si>
  <si>
    <t>Improvements to Roads in Bhadrappa Layout (Shaneoy Tailor House Surrounding Near Kashinagar) in ward no 7 Kodigehalli Sub Division</t>
  </si>
  <si>
    <t>N Thirunagendra</t>
  </si>
  <si>
    <t>007-15-000054</t>
  </si>
  <si>
    <t xml:space="preserve">Improvements to Roads and drains at Ravishankar Residency Layout in ward no 7 Kodigehalli Sub Division </t>
  </si>
  <si>
    <t>P3075</t>
  </si>
  <si>
    <t>Special comprehensive development works in Bangalore city (Bangalore city in charge Minister Discretionary Grants)</t>
  </si>
  <si>
    <t>007-15-000019</t>
  </si>
  <si>
    <t>Improvements to Roads and Drain in Amruthahalli Sridhar house cable roadin ward no. 07 Byatarayanapaura (Change of Work Improvements to Roads and Drains in Amruthahalli Munianjinappa House to Venkatesh House in ward no:07 Byatarayanapura)</t>
  </si>
  <si>
    <t>M Prakash</t>
  </si>
  <si>
    <t>007-16-000006</t>
  </si>
  <si>
    <t>Improvements to Roads and Drains in Varama Layout Amruthahalli in ward no 7 Kodigehalli Sub Division</t>
  </si>
  <si>
    <t>Ninganagowda V Patil</t>
  </si>
  <si>
    <t>007-16-000002</t>
  </si>
  <si>
    <t>Improvements to Roads and Drains Near Gangangamma Temple area Amruthahalli in ward no 7 Kodigehalli Sub Division</t>
  </si>
  <si>
    <t>007-16-000014</t>
  </si>
  <si>
    <t>Operation and maintenance of Street lights in Byatarayanapura Ward W No 7PackageY 7</t>
  </si>
  <si>
    <t>Pradeepkumar S N Prof of M/s Ganga Enterprises</t>
  </si>
  <si>
    <t>P0300</t>
  </si>
  <si>
    <t>M and R to Street Lights - Replacement of Burnt Bulbs etc. (Package)</t>
  </si>
  <si>
    <t>007-17-000033</t>
  </si>
  <si>
    <t>Annual maintenance of electrical Equipments and maintenance of Crematorium at Hebbal Kempapura Ward No 07</t>
  </si>
  <si>
    <t>S Bettaswamy prof of M/s S.B,E.S Electricals</t>
  </si>
  <si>
    <t>Spill Over</t>
  </si>
  <si>
    <t>007-17-000034</t>
  </si>
  <si>
    <t>Annual Maintenance and Repairs to Electrical Installation at J C Yelahanka zonal office building Byatarayanapura in ward No 7</t>
  </si>
  <si>
    <t>M/s Chowdeshwari Electricals</t>
  </si>
  <si>
    <t>P0294</t>
  </si>
  <si>
    <t>M and R to Electrical Inst in BMP Buildings, Schools, M.Homes, Community Halls, Markets and Others</t>
  </si>
  <si>
    <t>August</t>
  </si>
  <si>
    <t>007-17-000043</t>
  </si>
  <si>
    <t>Engagement of Gangman and Hiring of Tractor Tippers for cleaning and Maintenance of road side drains and other cleaning works in works in ward no 07</t>
  </si>
  <si>
    <t>Executive Engineer</t>
  </si>
  <si>
    <t>007-16-000015</t>
  </si>
  <si>
    <t>Maintainence and Emergency works in Ward No 7 Byatarayanapura</t>
  </si>
  <si>
    <t>A Manjunath</t>
  </si>
  <si>
    <t>007-16-000016</t>
  </si>
  <si>
    <t>Providing JCB and Tractor for removing silt and cleaning of drains in Ward No 7 surrounding Byatarayanapura</t>
  </si>
  <si>
    <t>007-16-000017</t>
  </si>
  <si>
    <t>Providing and filling of Pot Holes in Ward No 7 Byatarayanapura</t>
  </si>
  <si>
    <t>B B Umesha</t>
  </si>
  <si>
    <t>007-15-000052</t>
  </si>
  <si>
    <t>Improvements of compound wall in Byatarayanapura SCs Burial Ground in ward No 7 Byatarayanapura</t>
  </si>
  <si>
    <t>M/s S.L.N Constructions Sri.Narayanareddy R V</t>
  </si>
  <si>
    <t>P1878</t>
  </si>
  <si>
    <t>18per - Works (Bhagyajyothi, Sooru / Neeru Yojane and General) (54 Lakhs / New Wards)</t>
  </si>
  <si>
    <t>007-16-000004</t>
  </si>
  <si>
    <t>Improvements to Roads and Drains Laxmi Narayana Temple area Amruthahalli in ward no 7 Kodigehalli Sub Division</t>
  </si>
  <si>
    <t>007-15-000041</t>
  </si>
  <si>
    <t>Annual Maintenance and Repairs to Electrical Installation at J C Yelahanka Zonal office building Bytarayanapura</t>
  </si>
  <si>
    <t>M/S Chowdeshwari Electricals</t>
  </si>
  <si>
    <t>007-18-000003</t>
  </si>
  <si>
    <t>IMPROVEMENTS TO DRAINS OF 1st TO 3rd CROSS ROADS OF JAKKUR LAYOUT IN WARD NO 7 BYATARAYANAPURA</t>
  </si>
  <si>
    <t>007-18-000008</t>
  </si>
  <si>
    <t>IMPROVEMENTS TO DRAINS OF 15TH TO 18TH CROSS ROADS OF JAKKUR LAYOUT IN WARD NO 7 BYATARAYANAPURA</t>
  </si>
  <si>
    <t>P2652</t>
  </si>
  <si>
    <t>Contribution to Community Benefits</t>
  </si>
  <si>
    <t>007-18-000007</t>
  </si>
  <si>
    <t>IMPROVEMENTS TO DRAINS OF 11TH TO 14TH CROSS ROADS OF JAKKUR LAYOUT IN WARD NO 7 BYATARAYANAPURA</t>
  </si>
  <si>
    <t>007-18-000004</t>
  </si>
  <si>
    <t>IMPROVEMENTS TO DRAINS OF 4th TO 6th CROSS ROADS OF JAKKUR LAYOUT IN WARD NO 7 BYATARAYANAPURA</t>
  </si>
  <si>
    <t>007-18-000014</t>
  </si>
  <si>
    <t>Providing water supply through drilling new borewells and water pipe line in Amruthahalli Jakku, Sahakaranagara, GKVK Layout, Yashodhanagare, Padma tend road, L and T layout, Byatarayanapura and surrounding areas in war dno 07 Byatarayanapura</t>
  </si>
  <si>
    <t>Executive Engineer, KRIDL</t>
  </si>
  <si>
    <t>P3293</t>
  </si>
  <si>
    <t>14th Finance Commission Works - Drinking Water</t>
  </si>
  <si>
    <t>Current</t>
  </si>
  <si>
    <t>007-18-000013</t>
  </si>
  <si>
    <t>Providing water supply through drilling new borewells and water pipe line in Hebbala, Kariyanna layout, Errannapalya, Kempapura, Mariyannapalya, Amruthahalli and surrounding areas in war dno 07 Byatarayanapura</t>
  </si>
  <si>
    <t>Executive Engineer KRIDL</t>
  </si>
  <si>
    <t>September</t>
  </si>
  <si>
    <t>007-16-000042</t>
  </si>
  <si>
    <t xml:space="preserve">Providing L E D Street lights to Jakkur, Jakkur Plantation, Yeshodhanagar Byatarayanapura and Sanjeevininagar etc., in ward no 7 Byatarayanapura </t>
  </si>
  <si>
    <t xml:space="preserve">Technical Maneger. KRIDL </t>
  </si>
  <si>
    <t>P0190</t>
  </si>
  <si>
    <t>Works sanctioned by Hon Mayor</t>
  </si>
  <si>
    <t>007-16-000041</t>
  </si>
  <si>
    <t>Providing L E D Street lights to Veeranna palya Mariyanna palya Coffee board layout Kempapura colony Amruthnagar and Amruthalli etc., in ward no 7</t>
  </si>
  <si>
    <t>Technical Maneger</t>
  </si>
  <si>
    <t>007-17-000020</t>
  </si>
  <si>
    <t>CONSTRUCTION OF TWO PURE DRINKING WATER UNITS IN WARD NO 7 BYATARAYANAPURA</t>
  </si>
  <si>
    <t>Vasanth R</t>
  </si>
  <si>
    <t>007-16-000030</t>
  </si>
  <si>
    <t>Development and improvements to roads and drains in main road and cross roads of ward No 7Bytarayanpura.</t>
  </si>
  <si>
    <t>M/S KRIDL</t>
  </si>
  <si>
    <t>007-15-000013</t>
  </si>
  <si>
    <t>Construction of Bangalore one Building providing Entrance gate Raising of chain link fencing and Flood light pole fixing etc in Ward no 07 Byatarayanapura</t>
  </si>
  <si>
    <t>N N Sreenivasiah</t>
  </si>
  <si>
    <t>007-16-000018</t>
  </si>
  <si>
    <t>Construction of Drains in Military Dairy Farm in Sanjeevininagar Ward No 7 Byatarayanapura</t>
  </si>
  <si>
    <t>M/s Sathya Construction</t>
  </si>
  <si>
    <t>007-17-000021</t>
  </si>
  <si>
    <t>PROVIDING WATER PIPE LINE IN WARD NO 7 BYATARAYANAPURA</t>
  </si>
  <si>
    <t>T Jayanth</t>
  </si>
  <si>
    <t>October</t>
  </si>
  <si>
    <t>007-18-000010</t>
  </si>
  <si>
    <t>Package 1, Includes 2 Works of Rs 248.00 Lakhs 1.Providing basic amenities and procurement of dustbins in Kempapura, Amruthahalli, Jakkur, Jakkur Layout, Amruthanagara in ward No. 07, Byatarayanapura. 2. Providing basic amenities and procurement of dustbins in Sahakarnagara, Byatarayanapura,Sanjeevininagar in ward no:07, Byatarayanapura</t>
  </si>
  <si>
    <t>B B Umesh</t>
  </si>
  <si>
    <t>P3298</t>
  </si>
  <si>
    <t>14th Finance Commission Works - SWM Works</t>
  </si>
  <si>
    <t>007-18-000012</t>
  </si>
  <si>
    <t>Desilting and repairs to side walls of storm water drain from Byatarayanapura Ayyappa temple road to Bata showroom (near NH-7 Bellary road) from L and T Compound to Venkatesh Reddy house at Byatarayanapura, from Kriyanna House to Mandi Appaiah Farm House and from Gullappa Nursery (NH-7) to Amurthahalli Lake in ward No.07, Byatarayanapura.</t>
  </si>
  <si>
    <t>Storm Water Drains</t>
  </si>
  <si>
    <t>M/S Nischal Constructions Sri Naveen Rao N</t>
  </si>
  <si>
    <t>P3297</t>
  </si>
  <si>
    <t>14th Finance Commission Grants - SWD Works</t>
  </si>
  <si>
    <t>007-18-000009</t>
  </si>
  <si>
    <t>PACKAGE 3 INCLUDES 4 WORKS OF RS. 249.00 LAKHS 1.Improvements to CA sites providing Chain link fencing in Coffee board layout and surrounding areas in ward No.07, Byatarayanapura 2. Improvements to CA sites providing Chain link fencing in Jakkur, Jakkur Layout and surrounding areas in ward No.07, Byatarayanapura. 3 Improvements to roads and footpaths Vinayaka Layout 1st stage, Vinayaka Layout 2nd stage and Amruthanagara in ward No.07, Byatarayanapura. 4. Construction and improvements of toilets in Sahakaranagar, Byatarayanapura surrounding areas in ward No. 07, Byatarayanapura.</t>
  </si>
  <si>
    <t>P3296</t>
  </si>
  <si>
    <t>14th Finance Commission Works - Road and Footpath Maintenance</t>
  </si>
  <si>
    <t>007-17-000009</t>
  </si>
  <si>
    <t>CONSTRUCTIONS OF DRAINS IN HOODI MUNISHAMAPPA LAYOUT IN WARD NO 7 BYATARAYANAPURA</t>
  </si>
  <si>
    <t>Ravi Kumar K N</t>
  </si>
  <si>
    <t>007-15-000011</t>
  </si>
  <si>
    <t>Detail Estimate for Emergency drinking water supply in 6000 Its capacity water tankar in Sahakaranagara Sanjeevininagara Yashodanagara and Byatarayanapura in ward No 7 Byatarayanapura Kodigehalli Sub Division</t>
  </si>
  <si>
    <t>Chandranna C</t>
  </si>
  <si>
    <t>November</t>
  </si>
  <si>
    <t>007-17-000039</t>
  </si>
  <si>
    <t>Providing Water supply and other works at Ward No. 7</t>
  </si>
  <si>
    <t>December</t>
  </si>
  <si>
    <t>007-17-000041</t>
  </si>
  <si>
    <t>Improvements to roads and drains in Venkatappa layout in ward no 07 in Kodigehalli Sub Division</t>
  </si>
  <si>
    <t>P2178</t>
  </si>
  <si>
    <t>Works sanctioned by Dy. Mayor</t>
  </si>
  <si>
    <t>007-16-000008</t>
  </si>
  <si>
    <t>Improvements to Roads from Amruthahalli main road to Hottapa Layout in ward no 7 Kodigehalli Sub Division</t>
  </si>
  <si>
    <t>M/s Samba Shiva</t>
  </si>
  <si>
    <t>007-17-000042</t>
  </si>
  <si>
    <t>Construction of building and other developmental works at Shadimahal, Jakkur layout in ward no 07</t>
  </si>
  <si>
    <t>Public Amenities</t>
  </si>
  <si>
    <t>B M Muniraju</t>
  </si>
  <si>
    <t>January</t>
  </si>
  <si>
    <t>Consultancy Services for Project Management Consultancy for the work of Improvements to Roads Drains and Drilling borewells in ward no:07 &amp; 08 of Byatarayanapura Sub Division. (package Consists of 17 works of Rs. 610.10 Lakhs)</t>
  </si>
  <si>
    <t>007-16-000029</t>
  </si>
  <si>
    <t>Developmental works for providing Drinking water facility in Bytarayanapura Ward No 07</t>
  </si>
  <si>
    <t>KRIDL</t>
  </si>
  <si>
    <t>February</t>
  </si>
  <si>
    <t>007-16-000024</t>
  </si>
  <si>
    <t>Detailed estimate for the work of Drilling New Borewell Providing and Fixing Pump Motor with electrification at in Mariyannanapalya in Ward No 7 Kodigehalli Sub Division</t>
  </si>
  <si>
    <t>M C Sunilgowda</t>
  </si>
  <si>
    <t>007-16-000025</t>
  </si>
  <si>
    <t>Detailed estimate for the work of Drilling New Borewell Providing and Fixing Pump Motor with electrification at Veerannanapalya in Ward No 7 Kodigehalli Sub Division</t>
  </si>
  <si>
    <t>007-15-000059</t>
  </si>
  <si>
    <t xml:space="preserve">Construction of Swimming pool at Amruthanagara, Byatrayanapura Ward No.7. </t>
  </si>
  <si>
    <t>Sri.K.Somappa</t>
  </si>
  <si>
    <t>P1732</t>
  </si>
  <si>
    <t>Road network arterial roads (Project Division and Major Road Division)</t>
  </si>
  <si>
    <t>ddo235</t>
  </si>
  <si>
    <t xml:space="preserve"> Assistant Executive Engineer Project-1 Yelahanka Zone</t>
  </si>
  <si>
    <t>007-18-000109</t>
  </si>
  <si>
    <t>Consultancy Services for Preparation of DPR (Which includes Survey Designs, Drawing,Estimate etc.,) and for Project Management Consultancy for Package No.02 (Package Consists of 14 Works)</t>
  </si>
  <si>
    <t>P3158</t>
  </si>
  <si>
    <t>SIP Infrastructure Project works</t>
  </si>
  <si>
    <t>007-18-000048</t>
  </si>
  <si>
    <t>Package 4, includes 4 works of Rs.195.00 Lakhs 1. Improvements to roads and drains near Hebbal shanimahatma temple in hebbal in ward No.07 Byatrayanapura 2. Improvements to roads and drains Amruthalli gramatana (pending works) and surrounding areas in ward no.07 Byatarayanapura 3. Improvements to roads and drains in Sanjeeviningara, Byatarayanapura and kempapura in ward no.07 Byatarayanapura 4. Improvements to Drain Hoysala Appartment towards Byataryanapura Village in ward no:07 Byataryanapura.</t>
  </si>
  <si>
    <t>Abhijit A</t>
  </si>
  <si>
    <t>March</t>
  </si>
  <si>
    <t>007-17-000044</t>
  </si>
  <si>
    <t>Providing CC Camera at Garbage Block Spots in ward no 07</t>
  </si>
  <si>
    <t>Crime &amp; Safety</t>
  </si>
  <si>
    <t>007-17-000045</t>
  </si>
  <si>
    <t>Providing Modren Dust Bin in Bangalore City in ward no 07</t>
  </si>
  <si>
    <t>Health &amp; Sanitation</t>
  </si>
  <si>
    <t>007-18-000049</t>
  </si>
  <si>
    <t>Package 3, includes 4 works of Rs.200.00 Lakhs 1)Improvements to roads an drains of chiranjeevi layout extension and surrounding areas in ward no.07 Byatarayanapura . 2) Improvements to roads an drains of Mariyannapalya and surrounding areas in ward no.07 Byatarayanapura . 3) Improvements to roads and drains of Gopalappa Layout and chinnappa Layout in ward no.07 Byatarayanapura. 4) Improvements to roads and rains of hotteppa Layout, khasinagara and surroundign areas in ward No.07 byatarayanapura.</t>
  </si>
  <si>
    <t>D Narahari Benaka Developers &amp; Project Pvt Ltd</t>
  </si>
  <si>
    <t>007-17-000007</t>
  </si>
  <si>
    <t>MAINTENANCE OF WARD BY ENGAGING SILT AND TRACTOR IN WARD NO 7 BYATARAYANAPURA KODIGEHALLI SUB DIVISION</t>
  </si>
  <si>
    <t>Samba Shiva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</si>
</sst>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4"/>
  <sheetViews>
    <sheetView tabSelected="1" workbookViewId="0">
      <pane ySplit="1" topLeftCell="A2" activePane="bottomLeft" state="frozen"/>
      <selection activeCell="H1" sqref="H1"/>
      <selection pane="bottomLeft" activeCell="D8" sqref="D8"/>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4</v>
      </c>
      <c r="B2" s="9" t="s">
        <v>33</v>
      </c>
      <c r="C2" s="10">
        <v>43194</v>
      </c>
      <c r="D2" s="11">
        <v>7</v>
      </c>
      <c r="E2" s="12" t="s">
        <v>34</v>
      </c>
      <c r="F2" s="12" t="s">
        <v>34</v>
      </c>
      <c r="G2" s="12" t="s">
        <v>34</v>
      </c>
      <c r="H2" s="12" t="s">
        <v>35</v>
      </c>
      <c r="I2" s="11" t="s">
        <v>36</v>
      </c>
      <c r="J2" s="12" t="s">
        <v>37</v>
      </c>
      <c r="K2" s="13" t="s">
        <v>38</v>
      </c>
      <c r="L2" s="11" t="str">
        <f>"000259"</f>
        <v>000259</v>
      </c>
      <c r="M2" s="10">
        <v>42825</v>
      </c>
      <c r="N2" s="11" t="str">
        <f>"000038"</f>
        <v>000038</v>
      </c>
      <c r="O2" s="10">
        <v>43150</v>
      </c>
      <c r="P2" s="11" t="str">
        <f>"000114"</f>
        <v>000114</v>
      </c>
      <c r="Q2" s="10">
        <v>43152</v>
      </c>
      <c r="R2" s="11">
        <v>16</v>
      </c>
      <c r="S2" s="11" t="str">
        <f>"000002"</f>
        <v>000002</v>
      </c>
      <c r="T2" s="10">
        <v>43191</v>
      </c>
      <c r="U2" s="14">
        <v>5.92</v>
      </c>
      <c r="V2" s="14">
        <v>0.59199999999999997</v>
      </c>
      <c r="W2" s="14">
        <v>5.3280000000000003</v>
      </c>
      <c r="X2" s="11">
        <v>1</v>
      </c>
      <c r="Y2" s="10">
        <v>43194</v>
      </c>
      <c r="Z2" s="11">
        <v>9611192254</v>
      </c>
      <c r="AA2" s="12" t="s">
        <v>39</v>
      </c>
      <c r="AB2" s="11" t="s">
        <v>40</v>
      </c>
      <c r="AC2" s="12" t="s">
        <v>41</v>
      </c>
      <c r="AD2" s="11" t="s">
        <v>42</v>
      </c>
      <c r="AE2" s="12" t="s">
        <v>43</v>
      </c>
      <c r="AF2" s="14">
        <v>5.9200000000000003E-2</v>
      </c>
      <c r="AG2" s="11" t="s">
        <v>44</v>
      </c>
    </row>
    <row r="3" spans="1:33" x14ac:dyDescent="0.2">
      <c r="A3" s="8">
        <v>5</v>
      </c>
      <c r="B3" s="9" t="s">
        <v>33</v>
      </c>
      <c r="C3" s="10">
        <v>43194</v>
      </c>
      <c r="D3" s="11">
        <v>7</v>
      </c>
      <c r="E3" s="12" t="s">
        <v>34</v>
      </c>
      <c r="F3" s="12" t="s">
        <v>34</v>
      </c>
      <c r="G3" s="12" t="s">
        <v>34</v>
      </c>
      <c r="H3" s="12" t="s">
        <v>35</v>
      </c>
      <c r="I3" s="11" t="s">
        <v>45</v>
      </c>
      <c r="J3" s="12" t="s">
        <v>46</v>
      </c>
      <c r="K3" s="13" t="s">
        <v>38</v>
      </c>
      <c r="L3" s="11" t="str">
        <f>"000256"</f>
        <v>000256</v>
      </c>
      <c r="M3" s="10">
        <v>42825</v>
      </c>
      <c r="N3" s="11" t="str">
        <f>"000039"</f>
        <v>000039</v>
      </c>
      <c r="O3" s="10">
        <v>43150</v>
      </c>
      <c r="P3" s="11" t="str">
        <f>"000113"</f>
        <v>000113</v>
      </c>
      <c r="Q3" s="10">
        <v>43152</v>
      </c>
      <c r="R3" s="11">
        <v>16</v>
      </c>
      <c r="S3" s="11" t="str">
        <f>"000032"</f>
        <v>000032</v>
      </c>
      <c r="T3" s="10">
        <v>43191</v>
      </c>
      <c r="U3" s="14">
        <v>3.3412500000000001</v>
      </c>
      <c r="V3" s="14">
        <v>0.33412999999999998</v>
      </c>
      <c r="W3" s="14">
        <v>3.00712</v>
      </c>
      <c r="X3" s="11">
        <v>1</v>
      </c>
      <c r="Y3" s="10">
        <v>43194</v>
      </c>
      <c r="Z3" s="11">
        <v>9611192254</v>
      </c>
      <c r="AA3" s="12" t="s">
        <v>39</v>
      </c>
      <c r="AB3" s="11" t="s">
        <v>47</v>
      </c>
      <c r="AC3" s="12" t="s">
        <v>48</v>
      </c>
      <c r="AD3" s="11" t="s">
        <v>49</v>
      </c>
      <c r="AE3" s="12" t="s">
        <v>50</v>
      </c>
      <c r="AF3" s="14">
        <v>3.3412499999999998E-2</v>
      </c>
      <c r="AG3" s="11" t="s">
        <v>44</v>
      </c>
    </row>
    <row r="4" spans="1:33" x14ac:dyDescent="0.2">
      <c r="A4" s="8">
        <v>6</v>
      </c>
      <c r="B4" s="9" t="s">
        <v>33</v>
      </c>
      <c r="C4" s="10">
        <v>43194</v>
      </c>
      <c r="D4" s="11">
        <v>7</v>
      </c>
      <c r="E4" s="12" t="s">
        <v>34</v>
      </c>
      <c r="F4" s="12" t="s">
        <v>34</v>
      </c>
      <c r="G4" s="12" t="s">
        <v>34</v>
      </c>
      <c r="H4" s="12" t="s">
        <v>35</v>
      </c>
      <c r="I4" s="11" t="s">
        <v>45</v>
      </c>
      <c r="J4" s="12" t="s">
        <v>46</v>
      </c>
      <c r="K4" s="13" t="s">
        <v>38</v>
      </c>
      <c r="L4" s="11" t="str">
        <f>"000256"</f>
        <v>000256</v>
      </c>
      <c r="M4" s="10">
        <v>42825</v>
      </c>
      <c r="N4" s="11" t="str">
        <f>"000039"</f>
        <v>000039</v>
      </c>
      <c r="O4" s="10">
        <v>43150</v>
      </c>
      <c r="P4" s="11" t="str">
        <f>"000113"</f>
        <v>000113</v>
      </c>
      <c r="Q4" s="10">
        <v>43152</v>
      </c>
      <c r="R4" s="11">
        <v>16</v>
      </c>
      <c r="S4" s="11" t="str">
        <f>"000032"</f>
        <v>000032</v>
      </c>
      <c r="T4" s="10">
        <v>43191</v>
      </c>
      <c r="U4" s="14">
        <v>45.556289999999997</v>
      </c>
      <c r="V4" s="14">
        <v>2.1047099999999999</v>
      </c>
      <c r="W4" s="14">
        <v>43.45158</v>
      </c>
      <c r="X4" s="11">
        <v>1</v>
      </c>
      <c r="Y4" s="10">
        <v>43194</v>
      </c>
      <c r="Z4" s="11">
        <v>0</v>
      </c>
      <c r="AA4" s="12" t="s">
        <v>51</v>
      </c>
      <c r="AB4" s="11" t="s">
        <v>47</v>
      </c>
      <c r="AC4" s="12" t="s">
        <v>48</v>
      </c>
      <c r="AD4" s="11" t="s">
        <v>42</v>
      </c>
      <c r="AE4" s="12" t="s">
        <v>43</v>
      </c>
      <c r="AF4" s="14">
        <v>0.45556289999999999</v>
      </c>
      <c r="AG4" s="11" t="s">
        <v>44</v>
      </c>
    </row>
    <row r="5" spans="1:33" x14ac:dyDescent="0.2">
      <c r="A5" s="8">
        <v>7</v>
      </c>
      <c r="B5" s="9" t="s">
        <v>33</v>
      </c>
      <c r="C5" s="10">
        <v>43194</v>
      </c>
      <c r="D5" s="11">
        <v>7</v>
      </c>
      <c r="E5" s="12" t="s">
        <v>34</v>
      </c>
      <c r="F5" s="12" t="s">
        <v>34</v>
      </c>
      <c r="G5" s="12" t="s">
        <v>34</v>
      </c>
      <c r="H5" s="12" t="s">
        <v>35</v>
      </c>
      <c r="I5" s="11" t="s">
        <v>45</v>
      </c>
      <c r="J5" s="12" t="s">
        <v>46</v>
      </c>
      <c r="K5" s="13" t="s">
        <v>38</v>
      </c>
      <c r="L5" s="11" t="str">
        <f>"000256"</f>
        <v>000256</v>
      </c>
      <c r="M5" s="10">
        <v>42825</v>
      </c>
      <c r="N5" s="11" t="str">
        <f>"000039"</f>
        <v>000039</v>
      </c>
      <c r="O5" s="10">
        <v>43150</v>
      </c>
      <c r="P5" s="11" t="str">
        <f>"000113"</f>
        <v>000113</v>
      </c>
      <c r="Q5" s="10">
        <v>43152</v>
      </c>
      <c r="R5" s="11">
        <v>16</v>
      </c>
      <c r="S5" s="11" t="str">
        <f>"000032"</f>
        <v>000032</v>
      </c>
      <c r="T5" s="10">
        <v>43191</v>
      </c>
      <c r="U5" s="14">
        <v>102.48188</v>
      </c>
      <c r="V5" s="14">
        <v>4.8166500000000001</v>
      </c>
      <c r="W5" s="14">
        <v>97.665229999999994</v>
      </c>
      <c r="X5" s="11">
        <v>1</v>
      </c>
      <c r="Y5" s="10">
        <v>43194</v>
      </c>
      <c r="Z5" s="11">
        <v>0</v>
      </c>
      <c r="AA5" s="12" t="s">
        <v>51</v>
      </c>
      <c r="AB5" s="11" t="s">
        <v>47</v>
      </c>
      <c r="AC5" s="12" t="s">
        <v>48</v>
      </c>
      <c r="AD5" s="11" t="s">
        <v>42</v>
      </c>
      <c r="AE5" s="12" t="s">
        <v>43</v>
      </c>
      <c r="AF5" s="14">
        <v>1.0248188</v>
      </c>
      <c r="AG5" s="11" t="s">
        <v>44</v>
      </c>
    </row>
    <row r="6" spans="1:33" x14ac:dyDescent="0.2">
      <c r="A6" s="8">
        <v>291</v>
      </c>
      <c r="B6" s="9" t="s">
        <v>33</v>
      </c>
      <c r="C6" s="10">
        <v>43199</v>
      </c>
      <c r="D6" s="11">
        <v>7</v>
      </c>
      <c r="E6" s="12" t="s">
        <v>34</v>
      </c>
      <c r="F6" s="12" t="s">
        <v>34</v>
      </c>
      <c r="G6" s="12" t="s">
        <v>34</v>
      </c>
      <c r="H6" s="12" t="s">
        <v>35</v>
      </c>
      <c r="I6" s="11" t="s">
        <v>52</v>
      </c>
      <c r="J6" s="12" t="s">
        <v>53</v>
      </c>
      <c r="K6" s="13" t="s">
        <v>54</v>
      </c>
      <c r="L6" s="11" t="str">
        <f>"000066"</f>
        <v>000066</v>
      </c>
      <c r="M6" s="10">
        <v>43136</v>
      </c>
      <c r="N6" s="11" t="str">
        <f>"000044"</f>
        <v>000044</v>
      </c>
      <c r="O6" s="10">
        <v>43165</v>
      </c>
      <c r="P6" s="11" t="str">
        <f>"000133"</f>
        <v>000133</v>
      </c>
      <c r="Q6" s="10">
        <v>43167</v>
      </c>
      <c r="R6" s="11">
        <v>17</v>
      </c>
      <c r="S6" s="11" t="str">
        <f>"000367"</f>
        <v>000367</v>
      </c>
      <c r="T6" s="10">
        <v>43196</v>
      </c>
      <c r="U6" s="14">
        <v>49.437519999999999</v>
      </c>
      <c r="V6" s="14">
        <v>4.6125299999999996</v>
      </c>
      <c r="W6" s="14">
        <v>44.82499</v>
      </c>
      <c r="X6" s="11">
        <v>8</v>
      </c>
      <c r="Y6" s="10">
        <v>43199</v>
      </c>
      <c r="Z6" s="11">
        <v>9449863065</v>
      </c>
      <c r="AA6" s="12" t="s">
        <v>55</v>
      </c>
      <c r="AB6" s="11" t="s">
        <v>56</v>
      </c>
      <c r="AC6" s="12" t="s">
        <v>57</v>
      </c>
      <c r="AD6" s="11" t="s">
        <v>42</v>
      </c>
      <c r="AE6" s="12" t="s">
        <v>43</v>
      </c>
      <c r="AF6" s="14">
        <v>0.49437520000000001</v>
      </c>
      <c r="AG6" s="11" t="s">
        <v>44</v>
      </c>
    </row>
    <row r="7" spans="1:33" x14ac:dyDescent="0.2">
      <c r="A7" s="8">
        <v>324</v>
      </c>
      <c r="B7" s="9" t="s">
        <v>33</v>
      </c>
      <c r="C7" s="10">
        <v>43200</v>
      </c>
      <c r="D7" s="11">
        <v>7</v>
      </c>
      <c r="E7" s="12" t="s">
        <v>34</v>
      </c>
      <c r="F7" s="12" t="s">
        <v>34</v>
      </c>
      <c r="G7" s="12" t="s">
        <v>34</v>
      </c>
      <c r="H7" s="12" t="s">
        <v>35</v>
      </c>
      <c r="I7" s="11" t="s">
        <v>58</v>
      </c>
      <c r="J7" s="12" t="s">
        <v>59</v>
      </c>
      <c r="K7" s="13" t="s">
        <v>60</v>
      </c>
      <c r="L7" s="11" t="str">
        <f>"000011"</f>
        <v>000011</v>
      </c>
      <c r="M7" s="10">
        <v>43018</v>
      </c>
      <c r="N7" s="11" t="str">
        <f>"000047"</f>
        <v>000047</v>
      </c>
      <c r="O7" s="10">
        <v>43174</v>
      </c>
      <c r="P7" s="11" t="str">
        <f>"000147"</f>
        <v>000147</v>
      </c>
      <c r="Q7" s="10">
        <v>43185</v>
      </c>
      <c r="R7" s="11">
        <v>17</v>
      </c>
      <c r="S7" s="11" t="str">
        <f>"000441"</f>
        <v>000441</v>
      </c>
      <c r="T7" s="10">
        <v>43199</v>
      </c>
      <c r="U7" s="14">
        <v>9.6888000000000005</v>
      </c>
      <c r="V7" s="14">
        <v>0.26751000000000003</v>
      </c>
      <c r="W7" s="14">
        <v>9.4212900000000008</v>
      </c>
      <c r="X7" s="11">
        <v>13</v>
      </c>
      <c r="Y7" s="10">
        <v>43200</v>
      </c>
      <c r="Z7" s="11">
        <v>9448373804</v>
      </c>
      <c r="AA7" s="12" t="s">
        <v>61</v>
      </c>
      <c r="AB7" s="11" t="s">
        <v>62</v>
      </c>
      <c r="AC7" s="12" t="s">
        <v>63</v>
      </c>
      <c r="AD7" s="11" t="s">
        <v>42</v>
      </c>
      <c r="AE7" s="12" t="s">
        <v>43</v>
      </c>
      <c r="AF7" s="14">
        <v>9.6888000000000002E-2</v>
      </c>
      <c r="AG7" s="11" t="s">
        <v>44</v>
      </c>
    </row>
    <row r="8" spans="1:33" x14ac:dyDescent="0.2">
      <c r="A8" s="8">
        <v>906</v>
      </c>
      <c r="B8" s="9" t="s">
        <v>64</v>
      </c>
      <c r="C8" s="10">
        <v>43229</v>
      </c>
      <c r="D8" s="11">
        <v>7</v>
      </c>
      <c r="E8" s="12" t="s">
        <v>34</v>
      </c>
      <c r="F8" s="12" t="s">
        <v>34</v>
      </c>
      <c r="G8" s="12" t="s">
        <v>34</v>
      </c>
      <c r="H8" s="12" t="s">
        <v>35</v>
      </c>
      <c r="I8" s="11" t="s">
        <v>36</v>
      </c>
      <c r="J8" s="12" t="s">
        <v>37</v>
      </c>
      <c r="K8" s="13" t="s">
        <v>38</v>
      </c>
      <c r="L8" s="11" t="str">
        <f>"000259"</f>
        <v>000259</v>
      </c>
      <c r="M8" s="10">
        <v>42825</v>
      </c>
      <c r="N8" s="11" t="str">
        <f>"000038"</f>
        <v>000038</v>
      </c>
      <c r="O8" s="10">
        <v>43150</v>
      </c>
      <c r="P8" s="11" t="str">
        <f>"000114"</f>
        <v>000114</v>
      </c>
      <c r="Q8" s="10">
        <v>43152</v>
      </c>
      <c r="R8" s="11">
        <v>16</v>
      </c>
      <c r="S8" s="11" t="str">
        <f>"000002"</f>
        <v>000002</v>
      </c>
      <c r="T8" s="10">
        <v>43191</v>
      </c>
      <c r="U8" s="14">
        <v>120.41278</v>
      </c>
      <c r="V8" s="14">
        <v>3.7328000000000001</v>
      </c>
      <c r="W8" s="14">
        <v>116.67998</v>
      </c>
      <c r="X8" s="11">
        <v>43</v>
      </c>
      <c r="Y8" s="10">
        <v>43229</v>
      </c>
      <c r="Z8" s="11">
        <v>0</v>
      </c>
      <c r="AA8" s="12" t="s">
        <v>65</v>
      </c>
      <c r="AB8" s="11" t="s">
        <v>40</v>
      </c>
      <c r="AC8" s="12" t="s">
        <v>41</v>
      </c>
      <c r="AD8" s="11" t="s">
        <v>42</v>
      </c>
      <c r="AE8" s="12" t="s">
        <v>43</v>
      </c>
      <c r="AF8" s="14">
        <v>1.2041278</v>
      </c>
      <c r="AG8" s="11" t="s">
        <v>44</v>
      </c>
    </row>
    <row r="9" spans="1:33" x14ac:dyDescent="0.2">
      <c r="A9" s="8">
        <v>907</v>
      </c>
      <c r="B9" s="9" t="s">
        <v>64</v>
      </c>
      <c r="C9" s="10">
        <v>43229</v>
      </c>
      <c r="D9" s="11">
        <v>7</v>
      </c>
      <c r="E9" s="12" t="s">
        <v>34</v>
      </c>
      <c r="F9" s="12" t="s">
        <v>34</v>
      </c>
      <c r="G9" s="12" t="s">
        <v>34</v>
      </c>
      <c r="H9" s="12" t="s">
        <v>35</v>
      </c>
      <c r="I9" s="11" t="s">
        <v>66</v>
      </c>
      <c r="J9" s="12" t="s">
        <v>67</v>
      </c>
      <c r="K9" s="13" t="s">
        <v>68</v>
      </c>
      <c r="L9" s="11" t="str">
        <f>"000074"</f>
        <v>000074</v>
      </c>
      <c r="M9" s="10">
        <v>42887</v>
      </c>
      <c r="N9" s="11" t="str">
        <f>"000048"</f>
        <v>000048</v>
      </c>
      <c r="O9" s="10">
        <v>43182</v>
      </c>
      <c r="P9" s="11" t="str">
        <f>"000144"</f>
        <v>000144</v>
      </c>
      <c r="Q9" s="10">
        <v>43183</v>
      </c>
      <c r="R9" s="11">
        <v>16</v>
      </c>
      <c r="S9" s="11" t="str">
        <f>"001156"</f>
        <v>001156</v>
      </c>
      <c r="T9" s="10">
        <v>43228</v>
      </c>
      <c r="U9" s="14">
        <v>132.19244</v>
      </c>
      <c r="V9" s="14">
        <v>4.7589199999999998</v>
      </c>
      <c r="W9" s="14">
        <v>127.43352</v>
      </c>
      <c r="X9" s="11">
        <v>43</v>
      </c>
      <c r="Y9" s="10">
        <v>43229</v>
      </c>
      <c r="Z9" s="11">
        <v>9845736688</v>
      </c>
      <c r="AA9" s="12" t="s">
        <v>69</v>
      </c>
      <c r="AB9" s="11" t="s">
        <v>40</v>
      </c>
      <c r="AC9" s="12" t="s">
        <v>41</v>
      </c>
      <c r="AD9" s="11" t="s">
        <v>42</v>
      </c>
      <c r="AE9" s="12" t="s">
        <v>43</v>
      </c>
      <c r="AF9" s="14">
        <v>1.3219244000000001</v>
      </c>
      <c r="AG9" s="11" t="s">
        <v>44</v>
      </c>
    </row>
    <row r="10" spans="1:33" x14ac:dyDescent="0.2">
      <c r="A10" s="8">
        <v>908</v>
      </c>
      <c r="B10" s="9" t="s">
        <v>64</v>
      </c>
      <c r="C10" s="10">
        <v>43229</v>
      </c>
      <c r="D10" s="11">
        <v>7</v>
      </c>
      <c r="E10" s="12" t="s">
        <v>34</v>
      </c>
      <c r="F10" s="12" t="s">
        <v>34</v>
      </c>
      <c r="G10" s="12" t="s">
        <v>34</v>
      </c>
      <c r="H10" s="12" t="s">
        <v>35</v>
      </c>
      <c r="I10" s="11" t="s">
        <v>36</v>
      </c>
      <c r="J10" s="12" t="s">
        <v>37</v>
      </c>
      <c r="K10" s="13" t="s">
        <v>38</v>
      </c>
      <c r="L10" s="11" t="str">
        <f>"000259"</f>
        <v>000259</v>
      </c>
      <c r="M10" s="10">
        <v>42825</v>
      </c>
      <c r="N10" s="11" t="str">
        <f>"000038"</f>
        <v>000038</v>
      </c>
      <c r="O10" s="10">
        <v>43150</v>
      </c>
      <c r="P10" s="11" t="str">
        <f>"000114"</f>
        <v>000114</v>
      </c>
      <c r="Q10" s="10">
        <v>43152</v>
      </c>
      <c r="R10" s="11">
        <v>16</v>
      </c>
      <c r="S10" s="11" t="str">
        <f>"000002"</f>
        <v>000002</v>
      </c>
      <c r="T10" s="10">
        <v>43191</v>
      </c>
      <c r="U10" s="14">
        <v>139.57426000000001</v>
      </c>
      <c r="V10" s="14">
        <v>2.9310499999999999</v>
      </c>
      <c r="W10" s="14">
        <v>136.64321000000001</v>
      </c>
      <c r="X10" s="11">
        <v>43</v>
      </c>
      <c r="Y10" s="10">
        <v>43229</v>
      </c>
      <c r="Z10" s="11">
        <v>0</v>
      </c>
      <c r="AA10" s="12" t="s">
        <v>65</v>
      </c>
      <c r="AB10" s="11" t="s">
        <v>40</v>
      </c>
      <c r="AC10" s="12" t="s">
        <v>41</v>
      </c>
      <c r="AD10" s="11" t="s">
        <v>42</v>
      </c>
      <c r="AE10" s="12" t="s">
        <v>43</v>
      </c>
      <c r="AF10" s="14">
        <v>1.3957426000000002</v>
      </c>
      <c r="AG10" s="11" t="s">
        <v>44</v>
      </c>
    </row>
    <row r="11" spans="1:33" x14ac:dyDescent="0.2">
      <c r="A11" s="8">
        <v>1478</v>
      </c>
      <c r="B11" s="9" t="s">
        <v>64</v>
      </c>
      <c r="C11" s="10">
        <v>43251</v>
      </c>
      <c r="D11" s="11">
        <v>7</v>
      </c>
      <c r="E11" s="12" t="s">
        <v>34</v>
      </c>
      <c r="F11" s="12" t="s">
        <v>34</v>
      </c>
      <c r="G11" s="12" t="s">
        <v>34</v>
      </c>
      <c r="H11" s="12" t="s">
        <v>35</v>
      </c>
      <c r="I11" s="11" t="s">
        <v>70</v>
      </c>
      <c r="J11" s="12" t="s">
        <v>71</v>
      </c>
      <c r="K11" s="13" t="s">
        <v>68</v>
      </c>
      <c r="L11" s="11" t="str">
        <f>"000212"</f>
        <v>000212</v>
      </c>
      <c r="M11" s="10">
        <v>42416</v>
      </c>
      <c r="N11" s="11" t="str">
        <f>"000118"</f>
        <v>000118</v>
      </c>
      <c r="O11" s="10">
        <v>42613</v>
      </c>
      <c r="P11" s="11" t="str">
        <f>"000444"</f>
        <v>000444</v>
      </c>
      <c r="Q11" s="10">
        <v>42612</v>
      </c>
      <c r="R11" s="11">
        <v>16</v>
      </c>
      <c r="S11" s="11" t="str">
        <f>"001699"</f>
        <v>001699</v>
      </c>
      <c r="T11" s="10">
        <v>43242</v>
      </c>
      <c r="U11" s="14">
        <v>37.565429999999999</v>
      </c>
      <c r="V11" s="14">
        <v>3.0979399999999999</v>
      </c>
      <c r="W11" s="14">
        <v>34.467489999999998</v>
      </c>
      <c r="X11" s="11">
        <v>67</v>
      </c>
      <c r="Y11" s="10">
        <v>43251</v>
      </c>
      <c r="Z11" s="11">
        <v>9448042867</v>
      </c>
      <c r="AA11" s="12" t="s">
        <v>72</v>
      </c>
      <c r="AB11" s="11" t="s">
        <v>47</v>
      </c>
      <c r="AC11" s="12" t="s">
        <v>48</v>
      </c>
      <c r="AD11" s="11" t="s">
        <v>42</v>
      </c>
      <c r="AE11" s="12" t="s">
        <v>43</v>
      </c>
      <c r="AF11" s="14">
        <v>0.3756543</v>
      </c>
      <c r="AG11" s="11" t="s">
        <v>44</v>
      </c>
    </row>
    <row r="12" spans="1:33" x14ac:dyDescent="0.2">
      <c r="A12" s="8">
        <v>1479</v>
      </c>
      <c r="B12" s="9" t="s">
        <v>64</v>
      </c>
      <c r="C12" s="10">
        <v>43251</v>
      </c>
      <c r="D12" s="11">
        <v>7</v>
      </c>
      <c r="E12" s="12" t="s">
        <v>34</v>
      </c>
      <c r="F12" s="12" t="s">
        <v>34</v>
      </c>
      <c r="G12" s="12" t="s">
        <v>34</v>
      </c>
      <c r="H12" s="12" t="s">
        <v>35</v>
      </c>
      <c r="I12" s="11" t="s">
        <v>73</v>
      </c>
      <c r="J12" s="12" t="s">
        <v>74</v>
      </c>
      <c r="K12" s="13" t="s">
        <v>68</v>
      </c>
      <c r="L12" s="11" t="str">
        <f>"000305"</f>
        <v>000305</v>
      </c>
      <c r="M12" s="10">
        <v>42453</v>
      </c>
      <c r="N12" s="11" t="str">
        <f>"000119"</f>
        <v>000119</v>
      </c>
      <c r="O12" s="10">
        <v>42613</v>
      </c>
      <c r="P12" s="11" t="str">
        <f>"000448"</f>
        <v>000448</v>
      </c>
      <c r="Q12" s="10">
        <v>42613</v>
      </c>
      <c r="R12" s="11">
        <v>16</v>
      </c>
      <c r="S12" s="11" t="str">
        <f>"001765"</f>
        <v>001765</v>
      </c>
      <c r="T12" s="10">
        <v>43242</v>
      </c>
      <c r="U12" s="14">
        <v>34.484400000000001</v>
      </c>
      <c r="V12" s="14">
        <v>2.65</v>
      </c>
      <c r="W12" s="14">
        <v>31.834399999999999</v>
      </c>
      <c r="X12" s="11">
        <v>67</v>
      </c>
      <c r="Y12" s="10">
        <v>43251</v>
      </c>
      <c r="Z12" s="11">
        <v>9742690998</v>
      </c>
      <c r="AA12" s="12" t="s">
        <v>75</v>
      </c>
      <c r="AB12" s="11" t="s">
        <v>76</v>
      </c>
      <c r="AC12" s="12" t="s">
        <v>77</v>
      </c>
      <c r="AD12" s="11" t="s">
        <v>42</v>
      </c>
      <c r="AE12" s="12" t="s">
        <v>43</v>
      </c>
      <c r="AF12" s="14">
        <v>0.34484399999999998</v>
      </c>
      <c r="AG12" s="11" t="s">
        <v>44</v>
      </c>
    </row>
    <row r="13" spans="1:33" x14ac:dyDescent="0.2">
      <c r="A13" s="8">
        <v>1975</v>
      </c>
      <c r="B13" s="9" t="s">
        <v>78</v>
      </c>
      <c r="C13" s="10">
        <v>43258</v>
      </c>
      <c r="D13" s="11">
        <v>7</v>
      </c>
      <c r="E13" s="12" t="s">
        <v>34</v>
      </c>
      <c r="F13" s="12" t="s">
        <v>34</v>
      </c>
      <c r="G13" s="12" t="s">
        <v>34</v>
      </c>
      <c r="H13" s="12" t="s">
        <v>35</v>
      </c>
      <c r="I13" s="11" t="s">
        <v>79</v>
      </c>
      <c r="J13" s="12" t="s">
        <v>80</v>
      </c>
      <c r="K13" s="13" t="s">
        <v>38</v>
      </c>
      <c r="L13" s="11" t="str">
        <f>"000013"</f>
        <v>000013</v>
      </c>
      <c r="M13" s="10">
        <v>43132</v>
      </c>
      <c r="N13" s="11" t="str">
        <f>"000046"</f>
        <v>000046</v>
      </c>
      <c r="O13" s="10">
        <v>43185</v>
      </c>
      <c r="P13" s="11" t="str">
        <f>"000046"</f>
        <v>000046</v>
      </c>
      <c r="Q13" s="10">
        <v>43185</v>
      </c>
      <c r="R13" s="11">
        <v>18</v>
      </c>
      <c r="S13" s="11" t="str">
        <f>"002265"</f>
        <v>002265</v>
      </c>
      <c r="T13" s="10">
        <v>43257</v>
      </c>
      <c r="U13" s="14">
        <v>19.36045</v>
      </c>
      <c r="V13" s="14">
        <v>2.0522</v>
      </c>
      <c r="W13" s="14">
        <v>17.308250000000001</v>
      </c>
      <c r="X13" s="11">
        <v>77</v>
      </c>
      <c r="Y13" s="10">
        <v>43258</v>
      </c>
      <c r="Z13" s="11">
        <v>9449863065</v>
      </c>
      <c r="AA13" s="12" t="s">
        <v>81</v>
      </c>
      <c r="AB13" s="11" t="s">
        <v>82</v>
      </c>
      <c r="AC13" s="12" t="s">
        <v>83</v>
      </c>
      <c r="AD13" s="11" t="s">
        <v>84</v>
      </c>
      <c r="AE13" s="12" t="s">
        <v>85</v>
      </c>
      <c r="AF13" s="14">
        <v>0.19360450000000001</v>
      </c>
      <c r="AG13" s="11" t="s">
        <v>44</v>
      </c>
    </row>
    <row r="14" spans="1:33" x14ac:dyDescent="0.2">
      <c r="A14" s="8">
        <v>1976</v>
      </c>
      <c r="B14" s="9" t="s">
        <v>78</v>
      </c>
      <c r="C14" s="10">
        <v>43258</v>
      </c>
      <c r="D14" s="11">
        <v>7</v>
      </c>
      <c r="E14" s="12" t="s">
        <v>34</v>
      </c>
      <c r="F14" s="12" t="s">
        <v>34</v>
      </c>
      <c r="G14" s="12" t="s">
        <v>34</v>
      </c>
      <c r="H14" s="12" t="s">
        <v>35</v>
      </c>
      <c r="I14" s="11" t="s">
        <v>86</v>
      </c>
      <c r="J14" s="12" t="s">
        <v>87</v>
      </c>
      <c r="K14" s="13" t="s">
        <v>88</v>
      </c>
      <c r="L14" s="11" t="str">
        <f>"000014"</f>
        <v>000014</v>
      </c>
      <c r="M14" s="10">
        <v>43157</v>
      </c>
      <c r="N14" s="11" t="str">
        <f>"000047"</f>
        <v>000047</v>
      </c>
      <c r="O14" s="10">
        <v>43185</v>
      </c>
      <c r="P14" s="11" t="str">
        <f>"000047"</f>
        <v>000047</v>
      </c>
      <c r="Q14" s="10">
        <v>43185</v>
      </c>
      <c r="R14" s="11">
        <v>18</v>
      </c>
      <c r="S14" s="11" t="str">
        <f>"002274"</f>
        <v>002274</v>
      </c>
      <c r="T14" s="10">
        <v>43257</v>
      </c>
      <c r="U14" s="14">
        <v>9.6665299999999998</v>
      </c>
      <c r="V14" s="14">
        <v>1.218</v>
      </c>
      <c r="W14" s="14">
        <v>8.4485299999999999</v>
      </c>
      <c r="X14" s="11">
        <v>77</v>
      </c>
      <c r="Y14" s="10">
        <v>43258</v>
      </c>
      <c r="Z14" s="11">
        <v>9449863065</v>
      </c>
      <c r="AA14" s="12" t="s">
        <v>89</v>
      </c>
      <c r="AB14" s="11" t="s">
        <v>82</v>
      </c>
      <c r="AC14" s="12" t="s">
        <v>83</v>
      </c>
      <c r="AD14" s="11" t="s">
        <v>84</v>
      </c>
      <c r="AE14" s="12" t="s">
        <v>85</v>
      </c>
      <c r="AF14" s="14">
        <v>9.6665299999999996E-2</v>
      </c>
      <c r="AG14" s="11" t="s">
        <v>44</v>
      </c>
    </row>
    <row r="15" spans="1:33" x14ac:dyDescent="0.2">
      <c r="A15" s="8">
        <v>2075</v>
      </c>
      <c r="B15" s="9" t="s">
        <v>78</v>
      </c>
      <c r="C15" s="10">
        <v>43264</v>
      </c>
      <c r="D15" s="11">
        <v>7</v>
      </c>
      <c r="E15" s="12" t="s">
        <v>34</v>
      </c>
      <c r="F15" s="12" t="s">
        <v>34</v>
      </c>
      <c r="G15" s="12" t="s">
        <v>34</v>
      </c>
      <c r="H15" s="12" t="s">
        <v>35</v>
      </c>
      <c r="I15" s="11" t="s">
        <v>45</v>
      </c>
      <c r="J15" s="12" t="s">
        <v>46</v>
      </c>
      <c r="K15" s="13" t="s">
        <v>38</v>
      </c>
      <c r="L15" s="11" t="str">
        <f>"000256"</f>
        <v>000256</v>
      </c>
      <c r="M15" s="10">
        <v>42825</v>
      </c>
      <c r="N15" s="11" t="str">
        <f>"000039"</f>
        <v>000039</v>
      </c>
      <c r="O15" s="10">
        <v>43150</v>
      </c>
      <c r="P15" s="11" t="str">
        <f>"000113"</f>
        <v>000113</v>
      </c>
      <c r="Q15" s="10">
        <v>43152</v>
      </c>
      <c r="R15" s="11">
        <v>16</v>
      </c>
      <c r="S15" s="11" t="str">
        <f>"000032"</f>
        <v>000032</v>
      </c>
      <c r="T15" s="10">
        <v>43191</v>
      </c>
      <c r="U15" s="14">
        <v>129.63220000000001</v>
      </c>
      <c r="V15" s="14">
        <v>5.4964000000000004</v>
      </c>
      <c r="W15" s="14">
        <v>124.1358</v>
      </c>
      <c r="X15" s="11">
        <v>82</v>
      </c>
      <c r="Y15" s="10">
        <v>43264</v>
      </c>
      <c r="Z15" s="11">
        <v>0</v>
      </c>
      <c r="AA15" s="12" t="s">
        <v>51</v>
      </c>
      <c r="AB15" s="11" t="s">
        <v>47</v>
      </c>
      <c r="AC15" s="12" t="s">
        <v>48</v>
      </c>
      <c r="AD15" s="11" t="s">
        <v>42</v>
      </c>
      <c r="AE15" s="12" t="s">
        <v>43</v>
      </c>
      <c r="AF15" s="14">
        <v>1.2963220000000002</v>
      </c>
      <c r="AG15" s="11" t="s">
        <v>44</v>
      </c>
    </row>
    <row r="16" spans="1:33" x14ac:dyDescent="0.2">
      <c r="A16" s="8">
        <v>2437</v>
      </c>
      <c r="B16" s="9" t="s">
        <v>78</v>
      </c>
      <c r="C16" s="10">
        <v>43272</v>
      </c>
      <c r="D16" s="11">
        <v>7</v>
      </c>
      <c r="E16" s="12" t="s">
        <v>34</v>
      </c>
      <c r="F16" s="12" t="s">
        <v>34</v>
      </c>
      <c r="G16" s="12" t="s">
        <v>34</v>
      </c>
      <c r="H16" s="12" t="s">
        <v>35</v>
      </c>
      <c r="I16" s="11" t="s">
        <v>90</v>
      </c>
      <c r="J16" s="12" t="s">
        <v>91</v>
      </c>
      <c r="K16" s="13" t="s">
        <v>92</v>
      </c>
      <c r="L16" s="11" t="str">
        <f>"000261"</f>
        <v>000261</v>
      </c>
      <c r="M16" s="10">
        <v>42037</v>
      </c>
      <c r="N16" s="11" t="str">
        <f>"000071"</f>
        <v>000071</v>
      </c>
      <c r="O16" s="10">
        <v>42916</v>
      </c>
      <c r="P16" s="11" t="str">
        <f>"000204"</f>
        <v>000204</v>
      </c>
      <c r="Q16" s="10">
        <v>42916</v>
      </c>
      <c r="R16" s="11">
        <v>15</v>
      </c>
      <c r="S16" s="11" t="str">
        <f>"002690"</f>
        <v>002690</v>
      </c>
      <c r="T16" s="10">
        <v>43270</v>
      </c>
      <c r="U16" s="14">
        <v>4.8265799999999999</v>
      </c>
      <c r="V16" s="14">
        <v>0.34938999999999998</v>
      </c>
      <c r="W16" s="14">
        <v>4.4771900000000002</v>
      </c>
      <c r="X16" s="11">
        <v>98</v>
      </c>
      <c r="Y16" s="10">
        <v>43272</v>
      </c>
      <c r="Z16" s="11">
        <v>9900088235</v>
      </c>
      <c r="AA16" s="12" t="s">
        <v>93</v>
      </c>
      <c r="AB16" s="11" t="s">
        <v>94</v>
      </c>
      <c r="AC16" s="12" t="s">
        <v>95</v>
      </c>
      <c r="AD16" s="11" t="s">
        <v>42</v>
      </c>
      <c r="AE16" s="12" t="s">
        <v>43</v>
      </c>
      <c r="AF16" s="14">
        <v>4.8265799999999998E-2</v>
      </c>
      <c r="AG16" s="11" t="s">
        <v>44</v>
      </c>
    </row>
    <row r="17" spans="1:33" x14ac:dyDescent="0.2">
      <c r="A17" s="8">
        <v>2438</v>
      </c>
      <c r="B17" s="9" t="s">
        <v>78</v>
      </c>
      <c r="C17" s="10">
        <v>43272</v>
      </c>
      <c r="D17" s="11">
        <v>7</v>
      </c>
      <c r="E17" s="12" t="s">
        <v>34</v>
      </c>
      <c r="F17" s="12" t="s">
        <v>34</v>
      </c>
      <c r="G17" s="12" t="s">
        <v>34</v>
      </c>
      <c r="H17" s="12" t="s">
        <v>35</v>
      </c>
      <c r="I17" s="11" t="s">
        <v>96</v>
      </c>
      <c r="J17" s="12" t="s">
        <v>97</v>
      </c>
      <c r="K17" s="13" t="s">
        <v>60</v>
      </c>
      <c r="L17" s="11" t="str">
        <f>"000264"</f>
        <v>000264</v>
      </c>
      <c r="M17" s="10">
        <v>42037</v>
      </c>
      <c r="N17" s="11" t="str">
        <f>"000072"</f>
        <v>000072</v>
      </c>
      <c r="O17" s="10">
        <v>42916</v>
      </c>
      <c r="P17" s="11" t="str">
        <f>"000205"</f>
        <v>000205</v>
      </c>
      <c r="Q17" s="10">
        <v>42916</v>
      </c>
      <c r="R17" s="11">
        <v>15</v>
      </c>
      <c r="S17" s="11" t="str">
        <f>"002691"</f>
        <v>002691</v>
      </c>
      <c r="T17" s="10">
        <v>43270</v>
      </c>
      <c r="U17" s="14">
        <v>4.1871299999999998</v>
      </c>
      <c r="V17" s="14">
        <v>0.31518000000000002</v>
      </c>
      <c r="W17" s="14">
        <v>3.87195</v>
      </c>
      <c r="X17" s="11">
        <v>98</v>
      </c>
      <c r="Y17" s="10">
        <v>43272</v>
      </c>
      <c r="Z17" s="11">
        <v>9900088235</v>
      </c>
      <c r="AA17" s="12" t="s">
        <v>93</v>
      </c>
      <c r="AB17" s="11" t="s">
        <v>94</v>
      </c>
      <c r="AC17" s="12" t="s">
        <v>95</v>
      </c>
      <c r="AD17" s="11" t="s">
        <v>42</v>
      </c>
      <c r="AE17" s="12" t="s">
        <v>43</v>
      </c>
      <c r="AF17" s="14">
        <v>4.18713E-2</v>
      </c>
      <c r="AG17" s="11" t="s">
        <v>44</v>
      </c>
    </row>
    <row r="18" spans="1:33" x14ac:dyDescent="0.2">
      <c r="A18" s="8">
        <v>2673</v>
      </c>
      <c r="B18" s="9" t="s">
        <v>78</v>
      </c>
      <c r="C18" s="10">
        <v>43278</v>
      </c>
      <c r="D18" s="11">
        <v>7</v>
      </c>
      <c r="E18" s="12" t="s">
        <v>34</v>
      </c>
      <c r="F18" s="12" t="s">
        <v>34</v>
      </c>
      <c r="G18" s="12" t="s">
        <v>34</v>
      </c>
      <c r="H18" s="12" t="s">
        <v>35</v>
      </c>
      <c r="I18" s="11" t="s">
        <v>98</v>
      </c>
      <c r="J18" s="12" t="s">
        <v>99</v>
      </c>
      <c r="K18" s="13" t="s">
        <v>38</v>
      </c>
      <c r="L18" s="11" t="str">
        <f>"000052"</f>
        <v>000052</v>
      </c>
      <c r="M18" s="10">
        <v>42566</v>
      </c>
      <c r="N18" s="11" t="str">
        <f>"000193"</f>
        <v>000193</v>
      </c>
      <c r="O18" s="10">
        <v>42668</v>
      </c>
      <c r="P18" s="11" t="str">
        <f>"000607"</f>
        <v>000607</v>
      </c>
      <c r="Q18" s="10">
        <v>42671</v>
      </c>
      <c r="R18" s="11">
        <v>16</v>
      </c>
      <c r="S18" s="11" t="str">
        <f>"003002"</f>
        <v>003002</v>
      </c>
      <c r="T18" s="10">
        <v>43277</v>
      </c>
      <c r="U18" s="14">
        <v>3.2299199999999999</v>
      </c>
      <c r="V18" s="14">
        <v>0.20902999999999999</v>
      </c>
      <c r="W18" s="14">
        <v>3.0208900000000001</v>
      </c>
      <c r="X18" s="11">
        <v>103</v>
      </c>
      <c r="Y18" s="10">
        <v>43278</v>
      </c>
      <c r="Z18" s="11">
        <v>9742690998</v>
      </c>
      <c r="AA18" s="12" t="s">
        <v>75</v>
      </c>
      <c r="AB18" s="11" t="s">
        <v>76</v>
      </c>
      <c r="AC18" s="12" t="s">
        <v>77</v>
      </c>
      <c r="AD18" s="11" t="s">
        <v>42</v>
      </c>
      <c r="AE18" s="12" t="s">
        <v>43</v>
      </c>
      <c r="AF18" s="14">
        <v>3.22992E-2</v>
      </c>
      <c r="AG18" s="11" t="s">
        <v>44</v>
      </c>
    </row>
    <row r="19" spans="1:33" x14ac:dyDescent="0.2">
      <c r="A19" s="8">
        <v>2773</v>
      </c>
      <c r="B19" s="9" t="s">
        <v>100</v>
      </c>
      <c r="C19" s="10">
        <v>43283</v>
      </c>
      <c r="D19" s="11">
        <v>7</v>
      </c>
      <c r="E19" s="12" t="s">
        <v>34</v>
      </c>
      <c r="F19" s="12" t="s">
        <v>34</v>
      </c>
      <c r="G19" s="12" t="s">
        <v>34</v>
      </c>
      <c r="H19" s="12" t="s">
        <v>35</v>
      </c>
      <c r="I19" s="11" t="s">
        <v>101</v>
      </c>
      <c r="J19" s="12" t="s">
        <v>102</v>
      </c>
      <c r="K19" s="13" t="s">
        <v>38</v>
      </c>
      <c r="L19" s="11" t="str">
        <f>"000021"</f>
        <v>000021</v>
      </c>
      <c r="M19" s="10">
        <v>42646</v>
      </c>
      <c r="N19" s="11" t="str">
        <f>"000128"</f>
        <v>000128</v>
      </c>
      <c r="O19" s="10">
        <v>42699</v>
      </c>
      <c r="P19" s="11" t="str">
        <f>"000123"</f>
        <v>000123</v>
      </c>
      <c r="Q19" s="10">
        <v>42700</v>
      </c>
      <c r="R19" s="11">
        <v>12</v>
      </c>
      <c r="S19" s="11" t="str">
        <f>"003137"</f>
        <v>003137</v>
      </c>
      <c r="T19" s="10">
        <v>43280</v>
      </c>
      <c r="U19" s="14">
        <v>0.83814999999999995</v>
      </c>
      <c r="V19" s="14">
        <v>0.10142</v>
      </c>
      <c r="W19" s="14">
        <v>0.73673</v>
      </c>
      <c r="X19" s="11">
        <v>106</v>
      </c>
      <c r="Y19" s="10">
        <v>43283</v>
      </c>
      <c r="Z19" s="11">
        <v>9341347194</v>
      </c>
      <c r="AA19" s="12" t="s">
        <v>103</v>
      </c>
      <c r="AB19" s="11" t="s">
        <v>104</v>
      </c>
      <c r="AC19" s="12" t="s">
        <v>105</v>
      </c>
      <c r="AD19" s="11" t="s">
        <v>84</v>
      </c>
      <c r="AE19" s="12" t="s">
        <v>85</v>
      </c>
      <c r="AF19" s="14">
        <v>8.3815000000000001E-3</v>
      </c>
      <c r="AG19" s="11" t="s">
        <v>44</v>
      </c>
    </row>
    <row r="20" spans="1:33" x14ac:dyDescent="0.2">
      <c r="A20" s="8">
        <v>2774</v>
      </c>
      <c r="B20" s="9" t="s">
        <v>100</v>
      </c>
      <c r="C20" s="10">
        <v>43283</v>
      </c>
      <c r="D20" s="11">
        <v>7</v>
      </c>
      <c r="E20" s="12" t="s">
        <v>34</v>
      </c>
      <c r="F20" s="12" t="s">
        <v>34</v>
      </c>
      <c r="G20" s="12" t="s">
        <v>34</v>
      </c>
      <c r="H20" s="12" t="s">
        <v>35</v>
      </c>
      <c r="I20" s="11" t="s">
        <v>106</v>
      </c>
      <c r="J20" s="12" t="s">
        <v>107</v>
      </c>
      <c r="K20" s="13" t="s">
        <v>38</v>
      </c>
      <c r="L20" s="11" t="str">
        <f>"000022"</f>
        <v>000022</v>
      </c>
      <c r="M20" s="10">
        <v>42646</v>
      </c>
      <c r="N20" s="11" t="str">
        <f>"000129"</f>
        <v>000129</v>
      </c>
      <c r="O20" s="10">
        <v>42699</v>
      </c>
      <c r="P20" s="11" t="str">
        <f>"000124"</f>
        <v>000124</v>
      </c>
      <c r="Q20" s="10">
        <v>42700</v>
      </c>
      <c r="R20" s="11">
        <v>13</v>
      </c>
      <c r="S20" s="11" t="str">
        <f>"003139"</f>
        <v>003139</v>
      </c>
      <c r="T20" s="10">
        <v>43280</v>
      </c>
      <c r="U20" s="14">
        <v>0.87802000000000002</v>
      </c>
      <c r="V20" s="14">
        <v>0.10624</v>
      </c>
      <c r="W20" s="14">
        <v>0.77178000000000002</v>
      </c>
      <c r="X20" s="11">
        <v>106</v>
      </c>
      <c r="Y20" s="10">
        <v>43283</v>
      </c>
      <c r="Z20" s="11">
        <v>9341347194</v>
      </c>
      <c r="AA20" s="12" t="s">
        <v>108</v>
      </c>
      <c r="AB20" s="11" t="s">
        <v>104</v>
      </c>
      <c r="AC20" s="12" t="s">
        <v>105</v>
      </c>
      <c r="AD20" s="11" t="s">
        <v>84</v>
      </c>
      <c r="AE20" s="12" t="s">
        <v>85</v>
      </c>
      <c r="AF20" s="14">
        <v>8.7802000000000002E-3</v>
      </c>
      <c r="AG20" s="11" t="s">
        <v>44</v>
      </c>
    </row>
    <row r="21" spans="1:33" x14ac:dyDescent="0.2">
      <c r="A21" s="8">
        <v>3020</v>
      </c>
      <c r="B21" s="9" t="s">
        <v>100</v>
      </c>
      <c r="C21" s="10">
        <v>43287</v>
      </c>
      <c r="D21" s="11">
        <v>7</v>
      </c>
      <c r="E21" s="12" t="s">
        <v>34</v>
      </c>
      <c r="F21" s="12" t="s">
        <v>34</v>
      </c>
      <c r="G21" s="12" t="s">
        <v>34</v>
      </c>
      <c r="H21" s="12" t="s">
        <v>35</v>
      </c>
      <c r="I21" s="11" t="s">
        <v>109</v>
      </c>
      <c r="J21" s="12" t="s">
        <v>110</v>
      </c>
      <c r="K21" s="13" t="s">
        <v>68</v>
      </c>
      <c r="L21" s="11" t="str">
        <f>"000006"</f>
        <v>000006</v>
      </c>
      <c r="M21" s="10">
        <v>42486</v>
      </c>
      <c r="N21" s="11" t="str">
        <f>"000196"</f>
        <v>000196</v>
      </c>
      <c r="O21" s="10">
        <v>42688</v>
      </c>
      <c r="P21" s="11" t="str">
        <f>"000633"</f>
        <v>000633</v>
      </c>
      <c r="Q21" s="10">
        <v>42702</v>
      </c>
      <c r="R21" s="11">
        <v>16</v>
      </c>
      <c r="S21" s="11" t="str">
        <f>"003231"</f>
        <v>003231</v>
      </c>
      <c r="T21" s="10">
        <v>43283</v>
      </c>
      <c r="U21" s="14">
        <v>28.758700000000001</v>
      </c>
      <c r="V21" s="14">
        <v>2.1386500000000002</v>
      </c>
      <c r="W21" s="14">
        <v>26.620049999999999</v>
      </c>
      <c r="X21" s="11">
        <v>113</v>
      </c>
      <c r="Y21" s="10">
        <v>43287</v>
      </c>
      <c r="Z21" s="11">
        <v>9845547072</v>
      </c>
      <c r="AA21" s="12" t="s">
        <v>111</v>
      </c>
      <c r="AB21" s="11" t="s">
        <v>47</v>
      </c>
      <c r="AC21" s="12" t="s">
        <v>48</v>
      </c>
      <c r="AD21" s="11" t="s">
        <v>42</v>
      </c>
      <c r="AE21" s="12" t="s">
        <v>43</v>
      </c>
      <c r="AF21" s="14">
        <v>0.28758700000000004</v>
      </c>
      <c r="AG21" s="11" t="s">
        <v>44</v>
      </c>
    </row>
    <row r="22" spans="1:33" x14ac:dyDescent="0.2">
      <c r="A22" s="8">
        <v>3021</v>
      </c>
      <c r="B22" s="9" t="s">
        <v>100</v>
      </c>
      <c r="C22" s="10">
        <v>43287</v>
      </c>
      <c r="D22" s="11">
        <v>7</v>
      </c>
      <c r="E22" s="12" t="s">
        <v>34</v>
      </c>
      <c r="F22" s="12" t="s">
        <v>34</v>
      </c>
      <c r="G22" s="12" t="s">
        <v>34</v>
      </c>
      <c r="H22" s="12" t="s">
        <v>35</v>
      </c>
      <c r="I22" s="11" t="s">
        <v>112</v>
      </c>
      <c r="J22" s="12" t="s">
        <v>113</v>
      </c>
      <c r="K22" s="13" t="s">
        <v>68</v>
      </c>
      <c r="L22" s="11" t="str">
        <f>"000306"</f>
        <v>000306</v>
      </c>
      <c r="M22" s="10">
        <v>42453</v>
      </c>
      <c r="N22" s="11" t="str">
        <f>"000449"</f>
        <v>000449</v>
      </c>
      <c r="O22" s="10">
        <v>42613</v>
      </c>
      <c r="P22" s="11" t="str">
        <f>"000449"</f>
        <v>000449</v>
      </c>
      <c r="Q22" s="10">
        <v>42613</v>
      </c>
      <c r="R22" s="11">
        <v>15</v>
      </c>
      <c r="S22" s="11" t="str">
        <f>"003295"</f>
        <v>003295</v>
      </c>
      <c r="T22" s="10">
        <v>43285</v>
      </c>
      <c r="U22" s="14">
        <v>29.5335</v>
      </c>
      <c r="V22" s="14">
        <v>2.5590600000000001</v>
      </c>
      <c r="W22" s="14">
        <v>26.974440000000001</v>
      </c>
      <c r="X22" s="11">
        <v>113</v>
      </c>
      <c r="Y22" s="10">
        <v>43287</v>
      </c>
      <c r="Z22" s="11">
        <v>9742690998</v>
      </c>
      <c r="AA22" s="12" t="s">
        <v>75</v>
      </c>
      <c r="AB22" s="11" t="s">
        <v>114</v>
      </c>
      <c r="AC22" s="12" t="s">
        <v>115</v>
      </c>
      <c r="AD22" s="11" t="s">
        <v>42</v>
      </c>
      <c r="AE22" s="12" t="s">
        <v>43</v>
      </c>
      <c r="AF22" s="14">
        <v>0.29533500000000001</v>
      </c>
      <c r="AG22" s="11" t="s">
        <v>44</v>
      </c>
    </row>
    <row r="23" spans="1:33" x14ac:dyDescent="0.2">
      <c r="A23" s="8">
        <v>3263</v>
      </c>
      <c r="B23" s="9" t="s">
        <v>100</v>
      </c>
      <c r="C23" s="10">
        <v>43297</v>
      </c>
      <c r="D23" s="11">
        <v>7</v>
      </c>
      <c r="E23" s="12" t="s">
        <v>34</v>
      </c>
      <c r="F23" s="12" t="s">
        <v>34</v>
      </c>
      <c r="G23" s="12" t="s">
        <v>34</v>
      </c>
      <c r="H23" s="12" t="s">
        <v>35</v>
      </c>
      <c r="I23" s="11" t="s">
        <v>116</v>
      </c>
      <c r="J23" s="12" t="s">
        <v>117</v>
      </c>
      <c r="K23" s="13" t="s">
        <v>68</v>
      </c>
      <c r="L23" s="11" t="str">
        <f>"000274"</f>
        <v>000274</v>
      </c>
      <c r="M23" s="10">
        <v>42037</v>
      </c>
      <c r="N23" s="11" t="str">
        <f>"000217"</f>
        <v>000217</v>
      </c>
      <c r="O23" s="10">
        <v>42732</v>
      </c>
      <c r="P23" s="11" t="str">
        <f>"000750"</f>
        <v>000750</v>
      </c>
      <c r="Q23" s="10">
        <v>42734</v>
      </c>
      <c r="R23" s="11">
        <v>15</v>
      </c>
      <c r="S23" s="11" t="str">
        <f>"003677"</f>
        <v>003677</v>
      </c>
      <c r="T23" s="10">
        <v>43293</v>
      </c>
      <c r="U23" s="14">
        <v>9.3130799999999994</v>
      </c>
      <c r="V23" s="14">
        <v>0.93632000000000004</v>
      </c>
      <c r="W23" s="14">
        <v>8.3767600000000009</v>
      </c>
      <c r="X23" s="11">
        <v>125</v>
      </c>
      <c r="Y23" s="10">
        <v>43297</v>
      </c>
      <c r="Z23" s="11">
        <v>9901043696</v>
      </c>
      <c r="AA23" s="12" t="s">
        <v>118</v>
      </c>
      <c r="AB23" s="11" t="s">
        <v>76</v>
      </c>
      <c r="AC23" s="12" t="s">
        <v>77</v>
      </c>
      <c r="AD23" s="11" t="s">
        <v>42</v>
      </c>
      <c r="AE23" s="12" t="s">
        <v>43</v>
      </c>
      <c r="AF23" s="14">
        <v>9.31308E-2</v>
      </c>
      <c r="AG23" s="11" t="s">
        <v>44</v>
      </c>
    </row>
    <row r="24" spans="1:33" x14ac:dyDescent="0.2">
      <c r="A24" s="8">
        <v>3264</v>
      </c>
      <c r="B24" s="9" t="s">
        <v>100</v>
      </c>
      <c r="C24" s="10">
        <v>43297</v>
      </c>
      <c r="D24" s="11">
        <v>7</v>
      </c>
      <c r="E24" s="12" t="s">
        <v>34</v>
      </c>
      <c r="F24" s="12" t="s">
        <v>34</v>
      </c>
      <c r="G24" s="12" t="s">
        <v>34</v>
      </c>
      <c r="H24" s="12" t="s">
        <v>35</v>
      </c>
      <c r="I24" s="11" t="s">
        <v>119</v>
      </c>
      <c r="J24" s="12" t="s">
        <v>120</v>
      </c>
      <c r="K24" s="13" t="s">
        <v>68</v>
      </c>
      <c r="L24" s="11" t="str">
        <f>"000250"</f>
        <v>000250</v>
      </c>
      <c r="M24" s="10">
        <v>42426</v>
      </c>
      <c r="N24" s="11" t="str">
        <f>"000216"</f>
        <v>000216</v>
      </c>
      <c r="O24" s="10">
        <v>42731</v>
      </c>
      <c r="P24" s="11" t="str">
        <f>"000746"</f>
        <v>000746</v>
      </c>
      <c r="Q24" s="10">
        <v>42733</v>
      </c>
      <c r="R24" s="11">
        <v>16</v>
      </c>
      <c r="S24" s="11" t="str">
        <f>"003698"</f>
        <v>003698</v>
      </c>
      <c r="T24" s="10">
        <v>43293</v>
      </c>
      <c r="U24" s="14">
        <v>44.23227</v>
      </c>
      <c r="V24" s="14">
        <v>4.1333599999999997</v>
      </c>
      <c r="W24" s="14">
        <v>40.098909999999997</v>
      </c>
      <c r="X24" s="11">
        <v>125</v>
      </c>
      <c r="Y24" s="10">
        <v>43297</v>
      </c>
      <c r="Z24" s="11">
        <v>9448833637</v>
      </c>
      <c r="AA24" s="12" t="s">
        <v>121</v>
      </c>
      <c r="AB24" s="11" t="s">
        <v>47</v>
      </c>
      <c r="AC24" s="12" t="s">
        <v>48</v>
      </c>
      <c r="AD24" s="11" t="s">
        <v>42</v>
      </c>
      <c r="AE24" s="12" t="s">
        <v>43</v>
      </c>
      <c r="AF24" s="14">
        <v>0.44232270000000001</v>
      </c>
      <c r="AG24" s="11" t="s">
        <v>44</v>
      </c>
    </row>
    <row r="25" spans="1:33" x14ac:dyDescent="0.2">
      <c r="A25" s="8">
        <v>3265</v>
      </c>
      <c r="B25" s="9" t="s">
        <v>100</v>
      </c>
      <c r="C25" s="10">
        <v>43297</v>
      </c>
      <c r="D25" s="11">
        <v>7</v>
      </c>
      <c r="E25" s="12" t="s">
        <v>34</v>
      </c>
      <c r="F25" s="12" t="s">
        <v>34</v>
      </c>
      <c r="G25" s="12" t="s">
        <v>34</v>
      </c>
      <c r="H25" s="12" t="s">
        <v>35</v>
      </c>
      <c r="I25" s="11" t="s">
        <v>122</v>
      </c>
      <c r="J25" s="12" t="s">
        <v>123</v>
      </c>
      <c r="K25" s="13" t="s">
        <v>68</v>
      </c>
      <c r="L25" s="11" t="str">
        <f>"000253"</f>
        <v>000253</v>
      </c>
      <c r="M25" s="10">
        <v>42426</v>
      </c>
      <c r="N25" s="11" t="str">
        <f>"000215"</f>
        <v>000215</v>
      </c>
      <c r="O25" s="10">
        <v>42730</v>
      </c>
      <c r="P25" s="11" t="str">
        <f>"000747"</f>
        <v>000747</v>
      </c>
      <c r="Q25" s="10">
        <v>42733</v>
      </c>
      <c r="R25" s="11">
        <v>16</v>
      </c>
      <c r="S25" s="11" t="str">
        <f>"003699"</f>
        <v>003699</v>
      </c>
      <c r="T25" s="10">
        <v>43293</v>
      </c>
      <c r="U25" s="14">
        <v>39.132330000000003</v>
      </c>
      <c r="V25" s="14">
        <v>3.4072900000000002</v>
      </c>
      <c r="W25" s="14">
        <v>35.72504</v>
      </c>
      <c r="X25" s="11">
        <v>125</v>
      </c>
      <c r="Y25" s="10">
        <v>43297</v>
      </c>
      <c r="Z25" s="11">
        <v>9448833637</v>
      </c>
      <c r="AA25" s="12" t="s">
        <v>121</v>
      </c>
      <c r="AB25" s="11" t="s">
        <v>47</v>
      </c>
      <c r="AC25" s="12" t="s">
        <v>48</v>
      </c>
      <c r="AD25" s="11" t="s">
        <v>42</v>
      </c>
      <c r="AE25" s="12" t="s">
        <v>43</v>
      </c>
      <c r="AF25" s="14">
        <v>0.39132330000000004</v>
      </c>
      <c r="AG25" s="11" t="s">
        <v>44</v>
      </c>
    </row>
    <row r="26" spans="1:33" x14ac:dyDescent="0.2">
      <c r="A26" s="8">
        <v>3393</v>
      </c>
      <c r="B26" s="9" t="s">
        <v>100</v>
      </c>
      <c r="C26" s="10">
        <v>43299</v>
      </c>
      <c r="D26" s="11">
        <v>7</v>
      </c>
      <c r="E26" s="12" t="s">
        <v>34</v>
      </c>
      <c r="F26" s="12" t="s">
        <v>34</v>
      </c>
      <c r="G26" s="12" t="s">
        <v>34</v>
      </c>
      <c r="H26" s="12" t="s">
        <v>35</v>
      </c>
      <c r="I26" s="11" t="s">
        <v>124</v>
      </c>
      <c r="J26" s="12" t="s">
        <v>125</v>
      </c>
      <c r="K26" s="13" t="s">
        <v>54</v>
      </c>
      <c r="L26" s="11" t="str">
        <f>"000026"</f>
        <v>000026</v>
      </c>
      <c r="M26" s="10">
        <v>42716</v>
      </c>
      <c r="N26" s="11" t="str">
        <f>"000039"</f>
        <v>000039</v>
      </c>
      <c r="O26" s="10">
        <v>43124</v>
      </c>
      <c r="P26" s="11" t="str">
        <f>"000039"</f>
        <v>000039</v>
      </c>
      <c r="Q26" s="10">
        <v>43124</v>
      </c>
      <c r="R26" s="11">
        <v>16</v>
      </c>
      <c r="S26" s="11" t="str">
        <f>"003945"</f>
        <v>003945</v>
      </c>
      <c r="T26" s="10">
        <v>43299</v>
      </c>
      <c r="U26" s="14">
        <v>5.5138999999999996</v>
      </c>
      <c r="V26" s="14">
        <v>0.40534999999999999</v>
      </c>
      <c r="W26" s="14">
        <v>5.1085500000000001</v>
      </c>
      <c r="X26" s="11">
        <v>127</v>
      </c>
      <c r="Y26" s="10">
        <v>43299</v>
      </c>
      <c r="Z26" s="11">
        <v>9620096296</v>
      </c>
      <c r="AA26" s="12" t="s">
        <v>126</v>
      </c>
      <c r="AB26" s="11" t="s">
        <v>127</v>
      </c>
      <c r="AC26" s="12" t="s">
        <v>128</v>
      </c>
      <c r="AD26" s="11" t="s">
        <v>84</v>
      </c>
      <c r="AE26" s="12" t="s">
        <v>85</v>
      </c>
      <c r="AF26" s="14">
        <v>5.5138999999999994E-2</v>
      </c>
      <c r="AG26" s="11" t="s">
        <v>44</v>
      </c>
    </row>
    <row r="27" spans="1:33" x14ac:dyDescent="0.2">
      <c r="A27" s="8">
        <v>3394</v>
      </c>
      <c r="B27" s="9" t="s">
        <v>100</v>
      </c>
      <c r="C27" s="10">
        <v>43299</v>
      </c>
      <c r="D27" s="11">
        <v>7</v>
      </c>
      <c r="E27" s="12" t="s">
        <v>34</v>
      </c>
      <c r="F27" s="12" t="s">
        <v>34</v>
      </c>
      <c r="G27" s="12" t="s">
        <v>34</v>
      </c>
      <c r="H27" s="12" t="s">
        <v>35</v>
      </c>
      <c r="I27" s="11" t="s">
        <v>129</v>
      </c>
      <c r="J27" s="12" t="s">
        <v>130</v>
      </c>
      <c r="K27" s="13" t="s">
        <v>38</v>
      </c>
      <c r="L27" s="11" t="str">
        <f>"000001"</f>
        <v>000001</v>
      </c>
      <c r="M27" s="10">
        <v>42852</v>
      </c>
      <c r="N27" s="11" t="str">
        <f>"000006"</f>
        <v>000006</v>
      </c>
      <c r="O27" s="10">
        <v>43202</v>
      </c>
      <c r="P27" s="11" t="str">
        <f>"000006"</f>
        <v>000006</v>
      </c>
      <c r="Q27" s="10">
        <v>43203</v>
      </c>
      <c r="R27" s="11">
        <v>17</v>
      </c>
      <c r="S27" s="11" t="str">
        <f>"004361"</f>
        <v>004361</v>
      </c>
      <c r="T27" s="10">
        <v>43306</v>
      </c>
      <c r="U27" s="14">
        <v>4.9759500000000001</v>
      </c>
      <c r="V27" s="14">
        <v>0.20402000000000001</v>
      </c>
      <c r="W27" s="14">
        <v>4.7719300000000002</v>
      </c>
      <c r="X27" s="11">
        <v>127</v>
      </c>
      <c r="Y27" s="10">
        <v>43299</v>
      </c>
      <c r="Z27" s="11">
        <v>9845087137</v>
      </c>
      <c r="AA27" s="12" t="s">
        <v>131</v>
      </c>
      <c r="AB27" s="11" t="s">
        <v>104</v>
      </c>
      <c r="AC27" s="12" t="s">
        <v>105</v>
      </c>
      <c r="AD27" s="11" t="s">
        <v>84</v>
      </c>
      <c r="AE27" s="12" t="s">
        <v>85</v>
      </c>
      <c r="AF27" s="14">
        <v>4.9759499999999998E-2</v>
      </c>
      <c r="AG27" s="11" t="s">
        <v>132</v>
      </c>
    </row>
    <row r="28" spans="1:33" x14ac:dyDescent="0.2">
      <c r="A28" s="8">
        <v>3395</v>
      </c>
      <c r="B28" s="9" t="s">
        <v>100</v>
      </c>
      <c r="C28" s="10">
        <v>43299</v>
      </c>
      <c r="D28" s="11">
        <v>7</v>
      </c>
      <c r="E28" s="12" t="s">
        <v>34</v>
      </c>
      <c r="F28" s="12" t="s">
        <v>34</v>
      </c>
      <c r="G28" s="12" t="s">
        <v>34</v>
      </c>
      <c r="H28" s="12" t="s">
        <v>35</v>
      </c>
      <c r="I28" s="11" t="s">
        <v>129</v>
      </c>
      <c r="J28" s="12" t="s">
        <v>130</v>
      </c>
      <c r="K28" s="13" t="s">
        <v>38</v>
      </c>
      <c r="L28" s="11" t="str">
        <f>"000001"</f>
        <v>000001</v>
      </c>
      <c r="M28" s="10">
        <v>42852</v>
      </c>
      <c r="N28" s="11" t="str">
        <f>"000006"</f>
        <v>000006</v>
      </c>
      <c r="O28" s="10">
        <v>43202</v>
      </c>
      <c r="P28" s="11" t="str">
        <f>"000006"</f>
        <v>000006</v>
      </c>
      <c r="Q28" s="10">
        <v>43203</v>
      </c>
      <c r="R28" s="11">
        <v>17</v>
      </c>
      <c r="S28" s="11" t="str">
        <f>"004361"</f>
        <v>004361</v>
      </c>
      <c r="T28" s="10">
        <v>43306</v>
      </c>
      <c r="U28" s="14">
        <v>5.3684500000000002</v>
      </c>
      <c r="V28" s="14">
        <v>0.22009000000000001</v>
      </c>
      <c r="W28" s="14">
        <v>5.1483600000000003</v>
      </c>
      <c r="X28" s="11">
        <v>127</v>
      </c>
      <c r="Y28" s="10">
        <v>43299</v>
      </c>
      <c r="Z28" s="11">
        <v>9845087137</v>
      </c>
      <c r="AA28" s="12" t="s">
        <v>131</v>
      </c>
      <c r="AB28" s="11" t="s">
        <v>104</v>
      </c>
      <c r="AC28" s="12" t="s">
        <v>105</v>
      </c>
      <c r="AD28" s="11" t="s">
        <v>84</v>
      </c>
      <c r="AE28" s="12" t="s">
        <v>85</v>
      </c>
      <c r="AF28" s="14">
        <v>5.3684500000000003E-2</v>
      </c>
      <c r="AG28" s="11" t="s">
        <v>132</v>
      </c>
    </row>
    <row r="29" spans="1:33" x14ac:dyDescent="0.2">
      <c r="A29" s="8">
        <v>3694</v>
      </c>
      <c r="B29" s="9" t="s">
        <v>100</v>
      </c>
      <c r="C29" s="10">
        <v>43301</v>
      </c>
      <c r="D29" s="11">
        <v>7</v>
      </c>
      <c r="E29" s="12" t="s">
        <v>34</v>
      </c>
      <c r="F29" s="12" t="s">
        <v>34</v>
      </c>
      <c r="G29" s="12" t="s">
        <v>34</v>
      </c>
      <c r="H29" s="12" t="s">
        <v>35</v>
      </c>
      <c r="I29" s="11" t="s">
        <v>124</v>
      </c>
      <c r="J29" s="12" t="s">
        <v>125</v>
      </c>
      <c r="K29" s="13" t="s">
        <v>54</v>
      </c>
      <c r="L29" s="11" t="str">
        <f>"000026"</f>
        <v>000026</v>
      </c>
      <c r="M29" s="10">
        <v>42716</v>
      </c>
      <c r="N29" s="11" t="str">
        <f>"000039"</f>
        <v>000039</v>
      </c>
      <c r="O29" s="10">
        <v>43124</v>
      </c>
      <c r="P29" s="11" t="str">
        <f>"000039"</f>
        <v>000039</v>
      </c>
      <c r="Q29" s="10">
        <v>43124</v>
      </c>
      <c r="R29" s="11">
        <v>16</v>
      </c>
      <c r="S29" s="11" t="str">
        <f>"003945"</f>
        <v>003945</v>
      </c>
      <c r="T29" s="10">
        <v>43299</v>
      </c>
      <c r="U29" s="14">
        <v>7.6996900000000004</v>
      </c>
      <c r="V29" s="14">
        <v>0.55169000000000001</v>
      </c>
      <c r="W29" s="14">
        <v>7.1479999999999997</v>
      </c>
      <c r="X29" s="11">
        <v>134</v>
      </c>
      <c r="Y29" s="10">
        <v>43301</v>
      </c>
      <c r="Z29" s="11">
        <v>9620096296</v>
      </c>
      <c r="AA29" s="12" t="s">
        <v>126</v>
      </c>
      <c r="AB29" s="11" t="s">
        <v>127</v>
      </c>
      <c r="AC29" s="12" t="s">
        <v>128</v>
      </c>
      <c r="AD29" s="11" t="s">
        <v>84</v>
      </c>
      <c r="AE29" s="12" t="s">
        <v>85</v>
      </c>
      <c r="AF29" s="14">
        <v>7.6996900000000007E-2</v>
      </c>
      <c r="AG29" s="11" t="s">
        <v>44</v>
      </c>
    </row>
    <row r="30" spans="1:33" x14ac:dyDescent="0.2">
      <c r="A30" s="8">
        <v>4061</v>
      </c>
      <c r="B30" s="9" t="s">
        <v>100</v>
      </c>
      <c r="C30" s="10">
        <v>43308</v>
      </c>
      <c r="D30" s="11">
        <v>7</v>
      </c>
      <c r="E30" s="12" t="s">
        <v>34</v>
      </c>
      <c r="F30" s="12" t="s">
        <v>34</v>
      </c>
      <c r="G30" s="12" t="s">
        <v>34</v>
      </c>
      <c r="H30" s="12" t="s">
        <v>35</v>
      </c>
      <c r="I30" s="11" t="s">
        <v>129</v>
      </c>
      <c r="J30" s="12" t="s">
        <v>130</v>
      </c>
      <c r="K30" s="13" t="s">
        <v>38</v>
      </c>
      <c r="L30" s="11" t="str">
        <f>"000001"</f>
        <v>000001</v>
      </c>
      <c r="M30" s="10">
        <v>42852</v>
      </c>
      <c r="N30" s="11" t="str">
        <f>"000006"</f>
        <v>000006</v>
      </c>
      <c r="O30" s="10">
        <v>43202</v>
      </c>
      <c r="P30" s="11" t="str">
        <f>"000006"</f>
        <v>000006</v>
      </c>
      <c r="Q30" s="10">
        <v>43203</v>
      </c>
      <c r="R30" s="11">
        <v>17</v>
      </c>
      <c r="S30" s="11" t="str">
        <f>"004361"</f>
        <v>004361</v>
      </c>
      <c r="T30" s="10">
        <v>43306</v>
      </c>
      <c r="U30" s="14">
        <v>3.22065</v>
      </c>
      <c r="V30" s="14">
        <v>0.13206999999999999</v>
      </c>
      <c r="W30" s="14">
        <v>3.0885799999999999</v>
      </c>
      <c r="X30" s="11">
        <v>146</v>
      </c>
      <c r="Y30" s="10">
        <v>43308</v>
      </c>
      <c r="Z30" s="11">
        <v>9845087137</v>
      </c>
      <c r="AA30" s="12" t="s">
        <v>131</v>
      </c>
      <c r="AB30" s="11" t="s">
        <v>104</v>
      </c>
      <c r="AC30" s="12" t="s">
        <v>105</v>
      </c>
      <c r="AD30" s="11" t="s">
        <v>84</v>
      </c>
      <c r="AE30" s="12" t="s">
        <v>85</v>
      </c>
      <c r="AF30" s="14">
        <v>3.2206499999999999E-2</v>
      </c>
      <c r="AG30" s="11" t="s">
        <v>132</v>
      </c>
    </row>
    <row r="31" spans="1:33" x14ac:dyDescent="0.2">
      <c r="A31" s="8">
        <v>4062</v>
      </c>
      <c r="B31" s="9" t="s">
        <v>100</v>
      </c>
      <c r="C31" s="10">
        <v>43308</v>
      </c>
      <c r="D31" s="11">
        <v>7</v>
      </c>
      <c r="E31" s="12" t="s">
        <v>34</v>
      </c>
      <c r="F31" s="12" t="s">
        <v>34</v>
      </c>
      <c r="G31" s="12" t="s">
        <v>34</v>
      </c>
      <c r="H31" s="12" t="s">
        <v>35</v>
      </c>
      <c r="I31" s="11" t="s">
        <v>133</v>
      </c>
      <c r="J31" s="12" t="s">
        <v>134</v>
      </c>
      <c r="K31" s="13" t="s">
        <v>38</v>
      </c>
      <c r="L31" s="11" t="str">
        <f>"000025"</f>
        <v>000025</v>
      </c>
      <c r="M31" s="10">
        <v>42886</v>
      </c>
      <c r="N31" s="11" t="str">
        <f>"000009"</f>
        <v>000009</v>
      </c>
      <c r="O31" s="10">
        <v>43203</v>
      </c>
      <c r="P31" s="11" t="str">
        <f>"000009"</f>
        <v>000009</v>
      </c>
      <c r="Q31" s="10">
        <v>43203</v>
      </c>
      <c r="R31" s="11">
        <v>17</v>
      </c>
      <c r="S31" s="11" t="str">
        <f>"004392"</f>
        <v>004392</v>
      </c>
      <c r="T31" s="10">
        <v>43306</v>
      </c>
      <c r="U31" s="14">
        <v>2.0104000000000002</v>
      </c>
      <c r="V31" s="14">
        <v>8.2409999999999997E-2</v>
      </c>
      <c r="W31" s="14">
        <v>1.9279900000000001</v>
      </c>
      <c r="X31" s="11">
        <v>146</v>
      </c>
      <c r="Y31" s="10">
        <v>43308</v>
      </c>
      <c r="Z31" s="11">
        <v>9448024910</v>
      </c>
      <c r="AA31" s="12" t="s">
        <v>135</v>
      </c>
      <c r="AB31" s="11" t="s">
        <v>136</v>
      </c>
      <c r="AC31" s="12" t="s">
        <v>137</v>
      </c>
      <c r="AD31" s="11" t="s">
        <v>84</v>
      </c>
      <c r="AE31" s="12" t="s">
        <v>85</v>
      </c>
      <c r="AF31" s="14">
        <v>2.0104E-2</v>
      </c>
      <c r="AG31" s="11" t="s">
        <v>132</v>
      </c>
    </row>
    <row r="32" spans="1:33" x14ac:dyDescent="0.2">
      <c r="A32" s="8">
        <v>4063</v>
      </c>
      <c r="B32" s="9" t="s">
        <v>100</v>
      </c>
      <c r="C32" s="10">
        <v>43308</v>
      </c>
      <c r="D32" s="11">
        <v>7</v>
      </c>
      <c r="E32" s="12" t="s">
        <v>34</v>
      </c>
      <c r="F32" s="12" t="s">
        <v>34</v>
      </c>
      <c r="G32" s="12" t="s">
        <v>34</v>
      </c>
      <c r="H32" s="12" t="s">
        <v>35</v>
      </c>
      <c r="I32" s="11" t="s">
        <v>133</v>
      </c>
      <c r="J32" s="12" t="s">
        <v>134</v>
      </c>
      <c r="K32" s="13" t="s">
        <v>38</v>
      </c>
      <c r="L32" s="11" t="str">
        <f>"000025"</f>
        <v>000025</v>
      </c>
      <c r="M32" s="10">
        <v>42886</v>
      </c>
      <c r="N32" s="11" t="str">
        <f>"000009"</f>
        <v>000009</v>
      </c>
      <c r="O32" s="10">
        <v>43203</v>
      </c>
      <c r="P32" s="11" t="str">
        <f>"000009"</f>
        <v>000009</v>
      </c>
      <c r="Q32" s="10">
        <v>43203</v>
      </c>
      <c r="R32" s="11">
        <v>17</v>
      </c>
      <c r="S32" s="11" t="str">
        <f>"004392"</f>
        <v>004392</v>
      </c>
      <c r="T32" s="10">
        <v>43306</v>
      </c>
      <c r="U32" s="14">
        <v>2.3944999999999999</v>
      </c>
      <c r="V32" s="14">
        <v>9.8199999999999996E-2</v>
      </c>
      <c r="W32" s="14">
        <v>2.2963</v>
      </c>
      <c r="X32" s="11">
        <v>146</v>
      </c>
      <c r="Y32" s="10">
        <v>43308</v>
      </c>
      <c r="Z32" s="11">
        <v>9448024910</v>
      </c>
      <c r="AA32" s="12" t="s">
        <v>135</v>
      </c>
      <c r="AB32" s="11" t="s">
        <v>136</v>
      </c>
      <c r="AC32" s="12" t="s">
        <v>137</v>
      </c>
      <c r="AD32" s="11" t="s">
        <v>84</v>
      </c>
      <c r="AE32" s="12" t="s">
        <v>85</v>
      </c>
      <c r="AF32" s="14">
        <v>2.3944999999999998E-2</v>
      </c>
      <c r="AG32" s="11" t="s">
        <v>132</v>
      </c>
    </row>
    <row r="33" spans="1:33" x14ac:dyDescent="0.2">
      <c r="A33" s="8">
        <v>4216</v>
      </c>
      <c r="B33" s="9" t="s">
        <v>138</v>
      </c>
      <c r="C33" s="10">
        <v>43314</v>
      </c>
      <c r="D33" s="11">
        <v>7</v>
      </c>
      <c r="E33" s="12" t="s">
        <v>34</v>
      </c>
      <c r="F33" s="12" t="s">
        <v>34</v>
      </c>
      <c r="G33" s="12" t="s">
        <v>34</v>
      </c>
      <c r="H33" s="12" t="s">
        <v>35</v>
      </c>
      <c r="I33" s="11" t="s">
        <v>139</v>
      </c>
      <c r="J33" s="12" t="s">
        <v>140</v>
      </c>
      <c r="K33" s="13" t="s">
        <v>54</v>
      </c>
      <c r="L33" s="11" t="str">
        <f>"000104"</f>
        <v>000104</v>
      </c>
      <c r="M33" s="10">
        <v>43164</v>
      </c>
      <c r="N33" s="11" t="str">
        <f>"000016"</f>
        <v>000016</v>
      </c>
      <c r="O33" s="10">
        <v>43293</v>
      </c>
      <c r="P33" s="11" t="str">
        <f>"000048"</f>
        <v>000048</v>
      </c>
      <c r="Q33" s="10">
        <v>43299</v>
      </c>
      <c r="R33" s="11">
        <v>17</v>
      </c>
      <c r="S33" s="11" t="str">
        <f>"004767"</f>
        <v>004767</v>
      </c>
      <c r="T33" s="10">
        <v>43314</v>
      </c>
      <c r="U33" s="14">
        <v>11.99051</v>
      </c>
      <c r="V33" s="14">
        <v>0.37170999999999998</v>
      </c>
      <c r="W33" s="14">
        <v>11.6188</v>
      </c>
      <c r="X33" s="11">
        <v>150</v>
      </c>
      <c r="Y33" s="10">
        <v>43314</v>
      </c>
      <c r="Z33" s="11">
        <v>9449863065</v>
      </c>
      <c r="AA33" s="12" t="s">
        <v>141</v>
      </c>
      <c r="AB33" s="11" t="s">
        <v>62</v>
      </c>
      <c r="AC33" s="12" t="s">
        <v>63</v>
      </c>
      <c r="AD33" s="11" t="s">
        <v>42</v>
      </c>
      <c r="AE33" s="12" t="s">
        <v>43</v>
      </c>
      <c r="AF33" s="14">
        <v>0.1199051</v>
      </c>
      <c r="AG33" s="11" t="s">
        <v>132</v>
      </c>
    </row>
    <row r="34" spans="1:33" x14ac:dyDescent="0.2">
      <c r="A34" s="8">
        <v>4249</v>
      </c>
      <c r="B34" s="9" t="s">
        <v>138</v>
      </c>
      <c r="C34" s="10">
        <v>43315</v>
      </c>
      <c r="D34" s="11">
        <v>7</v>
      </c>
      <c r="E34" s="12" t="s">
        <v>34</v>
      </c>
      <c r="F34" s="12" t="s">
        <v>34</v>
      </c>
      <c r="G34" s="12" t="s">
        <v>34</v>
      </c>
      <c r="H34" s="12" t="s">
        <v>35</v>
      </c>
      <c r="I34" s="11" t="s">
        <v>142</v>
      </c>
      <c r="J34" s="12" t="s">
        <v>143</v>
      </c>
      <c r="K34" s="13" t="s">
        <v>38</v>
      </c>
      <c r="L34" s="11" t="str">
        <f>"000092"</f>
        <v>000092</v>
      </c>
      <c r="M34" s="10">
        <v>42587</v>
      </c>
      <c r="N34" s="11" t="str">
        <f>"000227"</f>
        <v>000227</v>
      </c>
      <c r="O34" s="10">
        <v>42760</v>
      </c>
      <c r="P34" s="11" t="str">
        <f>"000772"</f>
        <v>000772</v>
      </c>
      <c r="Q34" s="10">
        <v>42765</v>
      </c>
      <c r="R34" s="11">
        <v>16</v>
      </c>
      <c r="S34" s="11" t="str">
        <f>"004256"</f>
        <v>004256</v>
      </c>
      <c r="T34" s="10">
        <v>43306</v>
      </c>
      <c r="U34" s="14">
        <v>14.62021</v>
      </c>
      <c r="V34" s="14">
        <v>1.12113</v>
      </c>
      <c r="W34" s="14">
        <v>13.499079999999999</v>
      </c>
      <c r="X34" s="11">
        <v>152</v>
      </c>
      <c r="Y34" s="10">
        <v>43315</v>
      </c>
      <c r="Z34" s="11">
        <v>9845890399</v>
      </c>
      <c r="AA34" s="12" t="s">
        <v>144</v>
      </c>
      <c r="AB34" s="11" t="s">
        <v>76</v>
      </c>
      <c r="AC34" s="12" t="s">
        <v>77</v>
      </c>
      <c r="AD34" s="11" t="s">
        <v>42</v>
      </c>
      <c r="AE34" s="12" t="s">
        <v>43</v>
      </c>
      <c r="AF34" s="14">
        <v>0.1462021</v>
      </c>
      <c r="AG34" s="11" t="s">
        <v>44</v>
      </c>
    </row>
    <row r="35" spans="1:33" x14ac:dyDescent="0.2">
      <c r="A35" s="8">
        <v>4250</v>
      </c>
      <c r="B35" s="9" t="s">
        <v>138</v>
      </c>
      <c r="C35" s="10">
        <v>43315</v>
      </c>
      <c r="D35" s="11">
        <v>7</v>
      </c>
      <c r="E35" s="12" t="s">
        <v>34</v>
      </c>
      <c r="F35" s="12" t="s">
        <v>34</v>
      </c>
      <c r="G35" s="12" t="s">
        <v>34</v>
      </c>
      <c r="H35" s="12" t="s">
        <v>35</v>
      </c>
      <c r="I35" s="11" t="s">
        <v>145</v>
      </c>
      <c r="J35" s="12" t="s">
        <v>146</v>
      </c>
      <c r="K35" s="13" t="s">
        <v>54</v>
      </c>
      <c r="L35" s="11" t="str">
        <f>"000091"</f>
        <v>000091</v>
      </c>
      <c r="M35" s="10">
        <v>42587</v>
      </c>
      <c r="N35" s="11" t="str">
        <f>"000225"</f>
        <v>000225</v>
      </c>
      <c r="O35" s="10">
        <v>42760</v>
      </c>
      <c r="P35" s="11" t="str">
        <f>"000774"</f>
        <v>000774</v>
      </c>
      <c r="Q35" s="10">
        <v>42765</v>
      </c>
      <c r="R35" s="11">
        <v>16</v>
      </c>
      <c r="S35" s="11" t="str">
        <f>"004257"</f>
        <v>004257</v>
      </c>
      <c r="T35" s="10">
        <v>43306</v>
      </c>
      <c r="U35" s="14">
        <v>9.2155400000000007</v>
      </c>
      <c r="V35" s="14">
        <v>0.19928999999999999</v>
      </c>
      <c r="W35" s="14">
        <v>9.0162499999999994</v>
      </c>
      <c r="X35" s="11">
        <v>152</v>
      </c>
      <c r="Y35" s="10">
        <v>43315</v>
      </c>
      <c r="Z35" s="11">
        <v>9845890399</v>
      </c>
      <c r="AA35" s="12" t="s">
        <v>144</v>
      </c>
      <c r="AB35" s="11" t="s">
        <v>76</v>
      </c>
      <c r="AC35" s="12" t="s">
        <v>77</v>
      </c>
      <c r="AD35" s="11" t="s">
        <v>42</v>
      </c>
      <c r="AE35" s="12" t="s">
        <v>43</v>
      </c>
      <c r="AF35" s="14">
        <v>9.2155400000000012E-2</v>
      </c>
      <c r="AG35" s="11" t="s">
        <v>44</v>
      </c>
    </row>
    <row r="36" spans="1:33" x14ac:dyDescent="0.2">
      <c r="A36" s="8">
        <v>4251</v>
      </c>
      <c r="B36" s="9" t="s">
        <v>138</v>
      </c>
      <c r="C36" s="10">
        <v>43315</v>
      </c>
      <c r="D36" s="11">
        <v>7</v>
      </c>
      <c r="E36" s="12" t="s">
        <v>34</v>
      </c>
      <c r="F36" s="12" t="s">
        <v>34</v>
      </c>
      <c r="G36" s="12" t="s">
        <v>34</v>
      </c>
      <c r="H36" s="12" t="s">
        <v>35</v>
      </c>
      <c r="I36" s="11" t="s">
        <v>147</v>
      </c>
      <c r="J36" s="12" t="s">
        <v>148</v>
      </c>
      <c r="K36" s="13" t="s">
        <v>68</v>
      </c>
      <c r="L36" s="11" t="str">
        <f>"000089"</f>
        <v>000089</v>
      </c>
      <c r="M36" s="10">
        <v>42587</v>
      </c>
      <c r="N36" s="11" t="str">
        <f>"000226"</f>
        <v>000226</v>
      </c>
      <c r="O36" s="10">
        <v>42760</v>
      </c>
      <c r="P36" s="11" t="str">
        <f>"000775"</f>
        <v>000775</v>
      </c>
      <c r="Q36" s="10">
        <v>42765</v>
      </c>
      <c r="R36" s="11">
        <v>16</v>
      </c>
      <c r="S36" s="11" t="str">
        <f>"004276"</f>
        <v>004276</v>
      </c>
      <c r="T36" s="10">
        <v>43306</v>
      </c>
      <c r="U36" s="14">
        <v>18.12988</v>
      </c>
      <c r="V36" s="14">
        <v>1.4785299999999999</v>
      </c>
      <c r="W36" s="14">
        <v>16.651350000000001</v>
      </c>
      <c r="X36" s="11">
        <v>152</v>
      </c>
      <c r="Y36" s="10">
        <v>43315</v>
      </c>
      <c r="Z36" s="11">
        <v>9886213563</v>
      </c>
      <c r="AA36" s="12" t="s">
        <v>149</v>
      </c>
      <c r="AB36" s="11" t="s">
        <v>76</v>
      </c>
      <c r="AC36" s="12" t="s">
        <v>77</v>
      </c>
      <c r="AD36" s="11" t="s">
        <v>42</v>
      </c>
      <c r="AE36" s="12" t="s">
        <v>43</v>
      </c>
      <c r="AF36" s="14">
        <v>0.18129880000000001</v>
      </c>
      <c r="AG36" s="11" t="s">
        <v>44</v>
      </c>
    </row>
    <row r="37" spans="1:33" x14ac:dyDescent="0.2">
      <c r="A37" s="8">
        <v>4656</v>
      </c>
      <c r="B37" s="9" t="s">
        <v>138</v>
      </c>
      <c r="C37" s="10">
        <v>43325</v>
      </c>
      <c r="D37" s="11">
        <v>7</v>
      </c>
      <c r="E37" s="12" t="s">
        <v>34</v>
      </c>
      <c r="F37" s="12" t="s">
        <v>34</v>
      </c>
      <c r="G37" s="12" t="s">
        <v>34</v>
      </c>
      <c r="H37" s="12" t="s">
        <v>35</v>
      </c>
      <c r="I37" s="11" t="s">
        <v>150</v>
      </c>
      <c r="J37" s="12" t="s">
        <v>151</v>
      </c>
      <c r="K37" s="13" t="s">
        <v>38</v>
      </c>
      <c r="L37" s="11" t="str">
        <f>"000127"</f>
        <v>000127</v>
      </c>
      <c r="M37" s="10">
        <v>42649</v>
      </c>
      <c r="N37" s="11" t="str">
        <f>"000005"</f>
        <v>000005</v>
      </c>
      <c r="O37" s="10">
        <v>43245</v>
      </c>
      <c r="P37" s="11" t="str">
        <f>"000024"</f>
        <v>000024</v>
      </c>
      <c r="Q37" s="10">
        <v>43253</v>
      </c>
      <c r="R37" s="11">
        <v>15</v>
      </c>
      <c r="S37" s="11" t="str">
        <f>"004056"</f>
        <v>004056</v>
      </c>
      <c r="T37" s="10">
        <v>43301</v>
      </c>
      <c r="U37" s="14">
        <v>13.41234</v>
      </c>
      <c r="V37" s="14">
        <v>0.54600000000000004</v>
      </c>
      <c r="W37" s="14">
        <v>12.866339999999999</v>
      </c>
      <c r="X37" s="11">
        <v>166</v>
      </c>
      <c r="Y37" s="10">
        <v>43325</v>
      </c>
      <c r="Z37" s="11">
        <v>9880861321</v>
      </c>
      <c r="AA37" s="12" t="s">
        <v>152</v>
      </c>
      <c r="AB37" s="11" t="s">
        <v>153</v>
      </c>
      <c r="AC37" s="12" t="s">
        <v>154</v>
      </c>
      <c r="AD37" s="11" t="s">
        <v>42</v>
      </c>
      <c r="AE37" s="12" t="s">
        <v>43</v>
      </c>
      <c r="AF37" s="14">
        <v>0.1341234</v>
      </c>
      <c r="AG37" s="11" t="s">
        <v>132</v>
      </c>
    </row>
    <row r="38" spans="1:33" x14ac:dyDescent="0.2">
      <c r="A38" s="8">
        <v>4718</v>
      </c>
      <c r="B38" s="9" t="s">
        <v>138</v>
      </c>
      <c r="C38" s="10">
        <v>43326</v>
      </c>
      <c r="D38" s="11">
        <v>7</v>
      </c>
      <c r="E38" s="12" t="s">
        <v>34</v>
      </c>
      <c r="F38" s="12" t="s">
        <v>34</v>
      </c>
      <c r="G38" s="12" t="s">
        <v>34</v>
      </c>
      <c r="H38" s="12" t="s">
        <v>35</v>
      </c>
      <c r="I38" s="11" t="s">
        <v>155</v>
      </c>
      <c r="J38" s="12" t="s">
        <v>156</v>
      </c>
      <c r="K38" s="13" t="s">
        <v>68</v>
      </c>
      <c r="L38" s="11" t="str">
        <f>"000251"</f>
        <v>000251</v>
      </c>
      <c r="M38" s="10">
        <v>42426</v>
      </c>
      <c r="N38" s="11" t="str">
        <f>"000256"</f>
        <v>000256</v>
      </c>
      <c r="O38" s="10">
        <v>42817</v>
      </c>
      <c r="P38" s="11" t="str">
        <f>"000890"</f>
        <v>000890</v>
      </c>
      <c r="Q38" s="10">
        <v>42821</v>
      </c>
      <c r="R38" s="11">
        <v>16</v>
      </c>
      <c r="S38" s="11" t="str">
        <f>"005058"</f>
        <v>005058</v>
      </c>
      <c r="T38" s="10">
        <v>43322</v>
      </c>
      <c r="U38" s="14">
        <v>44.055309999999999</v>
      </c>
      <c r="V38" s="14">
        <v>3.2830599999999999</v>
      </c>
      <c r="W38" s="14">
        <v>40.77225</v>
      </c>
      <c r="X38" s="11">
        <v>170</v>
      </c>
      <c r="Y38" s="10">
        <v>43326</v>
      </c>
      <c r="Z38" s="11">
        <v>9448386587</v>
      </c>
      <c r="AA38" s="12" t="s">
        <v>121</v>
      </c>
      <c r="AB38" s="11" t="s">
        <v>47</v>
      </c>
      <c r="AC38" s="12" t="s">
        <v>48</v>
      </c>
      <c r="AD38" s="11" t="s">
        <v>42</v>
      </c>
      <c r="AE38" s="12" t="s">
        <v>43</v>
      </c>
      <c r="AF38" s="14">
        <v>0.44055309999999998</v>
      </c>
      <c r="AG38" s="11" t="s">
        <v>44</v>
      </c>
    </row>
    <row r="39" spans="1:33" x14ac:dyDescent="0.2">
      <c r="A39" s="8">
        <v>5060</v>
      </c>
      <c r="B39" s="9" t="s">
        <v>138</v>
      </c>
      <c r="C39" s="10">
        <v>43337</v>
      </c>
      <c r="D39" s="11">
        <v>7</v>
      </c>
      <c r="E39" s="12" t="s">
        <v>34</v>
      </c>
      <c r="F39" s="12" t="s">
        <v>34</v>
      </c>
      <c r="G39" s="12" t="s">
        <v>34</v>
      </c>
      <c r="H39" s="12" t="s">
        <v>35</v>
      </c>
      <c r="I39" s="11" t="s">
        <v>157</v>
      </c>
      <c r="J39" s="12" t="s">
        <v>158</v>
      </c>
      <c r="K39" s="13" t="s">
        <v>38</v>
      </c>
      <c r="L39" s="11" t="str">
        <f>"000015"</f>
        <v>000015</v>
      </c>
      <c r="M39" s="10">
        <v>42375</v>
      </c>
      <c r="N39" s="11" t="str">
        <f>"000008"</f>
        <v>000008</v>
      </c>
      <c r="O39" s="10">
        <v>43059</v>
      </c>
      <c r="P39" s="11" t="str">
        <f>"000006"</f>
        <v>000006</v>
      </c>
      <c r="Q39" s="10">
        <v>43059</v>
      </c>
      <c r="R39" s="11">
        <v>15</v>
      </c>
      <c r="S39" s="11" t="str">
        <f>"005358"</f>
        <v>005358</v>
      </c>
      <c r="T39" s="10">
        <v>43335</v>
      </c>
      <c r="U39" s="14">
        <v>1.2635000000000001</v>
      </c>
      <c r="V39" s="14">
        <v>0.11504</v>
      </c>
      <c r="W39" s="14">
        <v>1.14846</v>
      </c>
      <c r="X39" s="11">
        <v>180</v>
      </c>
      <c r="Y39" s="10">
        <v>43337</v>
      </c>
      <c r="Z39" s="11">
        <v>9448024910</v>
      </c>
      <c r="AA39" s="12" t="s">
        <v>159</v>
      </c>
      <c r="AB39" s="11" t="s">
        <v>136</v>
      </c>
      <c r="AC39" s="12" t="s">
        <v>137</v>
      </c>
      <c r="AD39" s="11" t="s">
        <v>84</v>
      </c>
      <c r="AE39" s="12" t="s">
        <v>85</v>
      </c>
      <c r="AF39" s="14">
        <v>1.2635E-2</v>
      </c>
      <c r="AG39" s="11" t="s">
        <v>44</v>
      </c>
    </row>
    <row r="40" spans="1:33" x14ac:dyDescent="0.2">
      <c r="A40" s="8">
        <v>5061</v>
      </c>
      <c r="B40" s="9" t="s">
        <v>138</v>
      </c>
      <c r="C40" s="10">
        <v>43337</v>
      </c>
      <c r="D40" s="11">
        <v>7</v>
      </c>
      <c r="E40" s="12" t="s">
        <v>34</v>
      </c>
      <c r="F40" s="12" t="s">
        <v>34</v>
      </c>
      <c r="G40" s="12" t="s">
        <v>34</v>
      </c>
      <c r="H40" s="12" t="s">
        <v>35</v>
      </c>
      <c r="I40" s="11" t="s">
        <v>160</v>
      </c>
      <c r="J40" s="12" t="s">
        <v>161</v>
      </c>
      <c r="K40" s="13" t="s">
        <v>54</v>
      </c>
      <c r="L40" s="11" t="str">
        <f>"000090"</f>
        <v>000090</v>
      </c>
      <c r="M40" s="10">
        <v>43162</v>
      </c>
      <c r="N40" s="11" t="str">
        <f>"000011"</f>
        <v>000011</v>
      </c>
      <c r="O40" s="10">
        <v>43293</v>
      </c>
      <c r="P40" s="11" t="str">
        <f>"000047"</f>
        <v>000047</v>
      </c>
      <c r="Q40" s="10">
        <v>43299</v>
      </c>
      <c r="R40" s="11">
        <v>18</v>
      </c>
      <c r="S40" s="11" t="str">
        <f>"005236"</f>
        <v>005236</v>
      </c>
      <c r="T40" s="10">
        <v>43326</v>
      </c>
      <c r="U40" s="14">
        <v>49.963650000000001</v>
      </c>
      <c r="V40" s="14">
        <v>4.51511</v>
      </c>
      <c r="W40" s="14">
        <v>45.448540000000001</v>
      </c>
      <c r="X40" s="11">
        <v>181</v>
      </c>
      <c r="Y40" s="10">
        <v>43337</v>
      </c>
      <c r="Z40" s="11">
        <v>9845626122</v>
      </c>
      <c r="AA40" s="12" t="s">
        <v>141</v>
      </c>
      <c r="AB40" s="11" t="s">
        <v>153</v>
      </c>
      <c r="AC40" s="12" t="s">
        <v>154</v>
      </c>
      <c r="AD40" s="11" t="s">
        <v>42</v>
      </c>
      <c r="AE40" s="12" t="s">
        <v>43</v>
      </c>
      <c r="AF40" s="14">
        <v>0.49963650000000004</v>
      </c>
      <c r="AG40" s="11" t="s">
        <v>132</v>
      </c>
    </row>
    <row r="41" spans="1:33" x14ac:dyDescent="0.2">
      <c r="A41" s="8">
        <v>5062</v>
      </c>
      <c r="B41" s="9" t="s">
        <v>138</v>
      </c>
      <c r="C41" s="10">
        <v>43337</v>
      </c>
      <c r="D41" s="11">
        <v>7</v>
      </c>
      <c r="E41" s="12" t="s">
        <v>34</v>
      </c>
      <c r="F41" s="12" t="s">
        <v>34</v>
      </c>
      <c r="G41" s="12" t="s">
        <v>34</v>
      </c>
      <c r="H41" s="12" t="s">
        <v>35</v>
      </c>
      <c r="I41" s="11" t="s">
        <v>162</v>
      </c>
      <c r="J41" s="12" t="s">
        <v>163</v>
      </c>
      <c r="K41" s="13" t="s">
        <v>54</v>
      </c>
      <c r="L41" s="11" t="str">
        <f>"000082"</f>
        <v>000082</v>
      </c>
      <c r="M41" s="10">
        <v>43162</v>
      </c>
      <c r="N41" s="11" t="str">
        <f>"000017"</f>
        <v>000017</v>
      </c>
      <c r="O41" s="10">
        <v>43293</v>
      </c>
      <c r="P41" s="11" t="str">
        <f>"000051"</f>
        <v>000051</v>
      </c>
      <c r="Q41" s="10">
        <v>43299</v>
      </c>
      <c r="R41" s="11">
        <v>18</v>
      </c>
      <c r="S41" s="11" t="str">
        <f>"005237"</f>
        <v>005237</v>
      </c>
      <c r="T41" s="10">
        <v>43326</v>
      </c>
      <c r="U41" s="14">
        <v>49.89517</v>
      </c>
      <c r="V41" s="14">
        <v>4.3986599999999996</v>
      </c>
      <c r="W41" s="14">
        <v>45.496510000000001</v>
      </c>
      <c r="X41" s="11">
        <v>181</v>
      </c>
      <c r="Y41" s="10">
        <v>43337</v>
      </c>
      <c r="Z41" s="11">
        <v>9845626122</v>
      </c>
      <c r="AA41" s="12" t="s">
        <v>141</v>
      </c>
      <c r="AB41" s="11" t="s">
        <v>164</v>
      </c>
      <c r="AC41" s="12" t="s">
        <v>165</v>
      </c>
      <c r="AD41" s="11" t="s">
        <v>42</v>
      </c>
      <c r="AE41" s="12" t="s">
        <v>43</v>
      </c>
      <c r="AF41" s="14">
        <v>0.4989517</v>
      </c>
      <c r="AG41" s="11" t="s">
        <v>132</v>
      </c>
    </row>
    <row r="42" spans="1:33" x14ac:dyDescent="0.2">
      <c r="A42" s="8">
        <v>5063</v>
      </c>
      <c r="B42" s="9" t="s">
        <v>138</v>
      </c>
      <c r="C42" s="10">
        <v>43337</v>
      </c>
      <c r="D42" s="11">
        <v>7</v>
      </c>
      <c r="E42" s="12" t="s">
        <v>34</v>
      </c>
      <c r="F42" s="12" t="s">
        <v>34</v>
      </c>
      <c r="G42" s="12" t="s">
        <v>34</v>
      </c>
      <c r="H42" s="12" t="s">
        <v>35</v>
      </c>
      <c r="I42" s="11" t="s">
        <v>166</v>
      </c>
      <c r="J42" s="12" t="s">
        <v>167</v>
      </c>
      <c r="K42" s="13" t="s">
        <v>54</v>
      </c>
      <c r="L42" s="11" t="str">
        <f>"000085"</f>
        <v>000085</v>
      </c>
      <c r="M42" s="10">
        <v>43162</v>
      </c>
      <c r="N42" s="11" t="str">
        <f>"000018"</f>
        <v>000018</v>
      </c>
      <c r="O42" s="10">
        <v>43293</v>
      </c>
      <c r="P42" s="11" t="str">
        <f>"000050"</f>
        <v>000050</v>
      </c>
      <c r="Q42" s="10">
        <v>43299</v>
      </c>
      <c r="R42" s="11">
        <v>18</v>
      </c>
      <c r="S42" s="11" t="str">
        <f>"005238"</f>
        <v>005238</v>
      </c>
      <c r="T42" s="10">
        <v>43326</v>
      </c>
      <c r="U42" s="14">
        <v>49.92989</v>
      </c>
      <c r="V42" s="14">
        <v>4.4103199999999996</v>
      </c>
      <c r="W42" s="14">
        <v>45.519570000000002</v>
      </c>
      <c r="X42" s="11">
        <v>181</v>
      </c>
      <c r="Y42" s="10">
        <v>43337</v>
      </c>
      <c r="Z42" s="11">
        <v>9845626122</v>
      </c>
      <c r="AA42" s="12" t="s">
        <v>141</v>
      </c>
      <c r="AB42" s="11" t="s">
        <v>164</v>
      </c>
      <c r="AC42" s="12" t="s">
        <v>165</v>
      </c>
      <c r="AD42" s="11" t="s">
        <v>42</v>
      </c>
      <c r="AE42" s="12" t="s">
        <v>43</v>
      </c>
      <c r="AF42" s="14">
        <v>0.49929889999999999</v>
      </c>
      <c r="AG42" s="11" t="s">
        <v>132</v>
      </c>
    </row>
    <row r="43" spans="1:33" x14ac:dyDescent="0.2">
      <c r="A43" s="8">
        <v>5064</v>
      </c>
      <c r="B43" s="9" t="s">
        <v>138</v>
      </c>
      <c r="C43" s="10">
        <v>43337</v>
      </c>
      <c r="D43" s="11">
        <v>7</v>
      </c>
      <c r="E43" s="12" t="s">
        <v>34</v>
      </c>
      <c r="F43" s="12" t="s">
        <v>34</v>
      </c>
      <c r="G43" s="12" t="s">
        <v>34</v>
      </c>
      <c r="H43" s="12" t="s">
        <v>35</v>
      </c>
      <c r="I43" s="11" t="s">
        <v>168</v>
      </c>
      <c r="J43" s="12" t="s">
        <v>169</v>
      </c>
      <c r="K43" s="13" t="s">
        <v>54</v>
      </c>
      <c r="L43" s="11" t="str">
        <f>"000081"</f>
        <v>000081</v>
      </c>
      <c r="M43" s="10">
        <v>43162</v>
      </c>
      <c r="N43" s="11" t="str">
        <f>"000015"</f>
        <v>000015</v>
      </c>
      <c r="O43" s="10">
        <v>43293</v>
      </c>
      <c r="P43" s="11" t="str">
        <f>"000052"</f>
        <v>000052</v>
      </c>
      <c r="Q43" s="10">
        <v>43299</v>
      </c>
      <c r="R43" s="11">
        <v>18</v>
      </c>
      <c r="S43" s="11" t="str">
        <f>"005239"</f>
        <v>005239</v>
      </c>
      <c r="T43" s="10">
        <v>43326</v>
      </c>
      <c r="U43" s="14">
        <v>49.891300000000001</v>
      </c>
      <c r="V43" s="14">
        <v>4.6548999999999996</v>
      </c>
      <c r="W43" s="14">
        <v>45.236400000000003</v>
      </c>
      <c r="X43" s="11">
        <v>181</v>
      </c>
      <c r="Y43" s="10">
        <v>43337</v>
      </c>
      <c r="Z43" s="11">
        <v>9845626122</v>
      </c>
      <c r="AA43" s="12" t="s">
        <v>141</v>
      </c>
      <c r="AB43" s="11" t="s">
        <v>153</v>
      </c>
      <c r="AC43" s="12" t="s">
        <v>154</v>
      </c>
      <c r="AD43" s="11" t="s">
        <v>42</v>
      </c>
      <c r="AE43" s="12" t="s">
        <v>43</v>
      </c>
      <c r="AF43" s="14">
        <v>0.498913</v>
      </c>
      <c r="AG43" s="11" t="s">
        <v>132</v>
      </c>
    </row>
    <row r="44" spans="1:33" x14ac:dyDescent="0.2">
      <c r="A44" s="8">
        <v>5121</v>
      </c>
      <c r="B44" s="9" t="s">
        <v>138</v>
      </c>
      <c r="C44" s="10">
        <v>43339</v>
      </c>
      <c r="D44" s="11">
        <v>7</v>
      </c>
      <c r="E44" s="12" t="s">
        <v>34</v>
      </c>
      <c r="F44" s="12" t="s">
        <v>34</v>
      </c>
      <c r="G44" s="12" t="s">
        <v>34</v>
      </c>
      <c r="H44" s="12" t="s">
        <v>35</v>
      </c>
      <c r="I44" s="11" t="s">
        <v>170</v>
      </c>
      <c r="J44" s="12" t="s">
        <v>171</v>
      </c>
      <c r="K44" s="13" t="s">
        <v>92</v>
      </c>
      <c r="L44" s="11" t="str">
        <f>"000043"</f>
        <v>000043</v>
      </c>
      <c r="M44" s="10">
        <v>43300</v>
      </c>
      <c r="N44" s="11" t="str">
        <f>"000022"</f>
        <v>000022</v>
      </c>
      <c r="O44" s="10">
        <v>43314</v>
      </c>
      <c r="P44" s="11" t="str">
        <f>"000067"</f>
        <v>000067</v>
      </c>
      <c r="Q44" s="10">
        <v>43318</v>
      </c>
      <c r="R44" s="11">
        <v>18</v>
      </c>
      <c r="S44" s="11" t="str">
        <f>"005398"</f>
        <v>005398</v>
      </c>
      <c r="T44" s="10">
        <v>43339</v>
      </c>
      <c r="U44" s="14">
        <v>46.501300000000001</v>
      </c>
      <c r="V44" s="14">
        <v>3.9107599999999998</v>
      </c>
      <c r="W44" s="14">
        <v>42.590539999999997</v>
      </c>
      <c r="X44" s="11">
        <v>184</v>
      </c>
      <c r="Y44" s="10">
        <v>43339</v>
      </c>
      <c r="Z44" s="11">
        <v>9449863065</v>
      </c>
      <c r="AA44" s="12" t="s">
        <v>172</v>
      </c>
      <c r="AB44" s="11" t="s">
        <v>173</v>
      </c>
      <c r="AC44" s="12" t="s">
        <v>174</v>
      </c>
      <c r="AD44" s="11" t="s">
        <v>42</v>
      </c>
      <c r="AE44" s="12" t="s">
        <v>43</v>
      </c>
      <c r="AF44" s="14">
        <v>0.46501300000000001</v>
      </c>
      <c r="AG44" s="11" t="s">
        <v>175</v>
      </c>
    </row>
    <row r="45" spans="1:33" x14ac:dyDescent="0.2">
      <c r="A45" s="8">
        <v>5122</v>
      </c>
      <c r="B45" s="9" t="s">
        <v>138</v>
      </c>
      <c r="C45" s="10">
        <v>43339</v>
      </c>
      <c r="D45" s="11">
        <v>7</v>
      </c>
      <c r="E45" s="12" t="s">
        <v>34</v>
      </c>
      <c r="F45" s="12" t="s">
        <v>34</v>
      </c>
      <c r="G45" s="12" t="s">
        <v>34</v>
      </c>
      <c r="H45" s="12" t="s">
        <v>35</v>
      </c>
      <c r="I45" s="11" t="s">
        <v>176</v>
      </c>
      <c r="J45" s="12" t="s">
        <v>177</v>
      </c>
      <c r="K45" s="13" t="s">
        <v>92</v>
      </c>
      <c r="L45" s="11" t="str">
        <f>"000044"</f>
        <v>000044</v>
      </c>
      <c r="M45" s="10">
        <v>43300</v>
      </c>
      <c r="N45" s="11" t="str">
        <f>"000021"</f>
        <v>000021</v>
      </c>
      <c r="O45" s="10">
        <v>43314</v>
      </c>
      <c r="P45" s="11" t="str">
        <f>"000066"</f>
        <v>000066</v>
      </c>
      <c r="Q45" s="10">
        <v>43316</v>
      </c>
      <c r="R45" s="11">
        <v>18</v>
      </c>
      <c r="S45" s="11" t="str">
        <f>"005399"</f>
        <v>005399</v>
      </c>
      <c r="T45" s="10">
        <v>43339</v>
      </c>
      <c r="U45" s="14">
        <v>97.952150000000003</v>
      </c>
      <c r="V45" s="14">
        <v>8.2768899999999999</v>
      </c>
      <c r="W45" s="14">
        <v>89.675259999999994</v>
      </c>
      <c r="X45" s="11">
        <v>184</v>
      </c>
      <c r="Y45" s="10">
        <v>43339</v>
      </c>
      <c r="Z45" s="11">
        <v>9449863065</v>
      </c>
      <c r="AA45" s="12" t="s">
        <v>178</v>
      </c>
      <c r="AB45" s="11" t="s">
        <v>173</v>
      </c>
      <c r="AC45" s="12" t="s">
        <v>174</v>
      </c>
      <c r="AD45" s="11" t="s">
        <v>42</v>
      </c>
      <c r="AE45" s="12" t="s">
        <v>43</v>
      </c>
      <c r="AF45" s="14">
        <v>0.97952150000000004</v>
      </c>
      <c r="AG45" s="11" t="s">
        <v>175</v>
      </c>
    </row>
    <row r="46" spans="1:33" x14ac:dyDescent="0.2">
      <c r="A46" s="8">
        <v>5157</v>
      </c>
      <c r="B46" s="9" t="s">
        <v>179</v>
      </c>
      <c r="C46" s="10">
        <v>43346</v>
      </c>
      <c r="D46" s="11">
        <v>7</v>
      </c>
      <c r="E46" s="12" t="s">
        <v>34</v>
      </c>
      <c r="F46" s="12" t="s">
        <v>34</v>
      </c>
      <c r="G46" s="12" t="s">
        <v>34</v>
      </c>
      <c r="H46" s="12" t="s">
        <v>35</v>
      </c>
      <c r="I46" s="11" t="s">
        <v>180</v>
      </c>
      <c r="J46" s="12" t="s">
        <v>181</v>
      </c>
      <c r="K46" s="13" t="s">
        <v>54</v>
      </c>
      <c r="L46" s="11" t="str">
        <f>"000037"</f>
        <v>000037</v>
      </c>
      <c r="M46" s="10">
        <v>42784</v>
      </c>
      <c r="N46" s="11" t="str">
        <f>"000054"</f>
        <v>000054</v>
      </c>
      <c r="O46" s="10">
        <v>42916</v>
      </c>
      <c r="P46" s="11" t="str">
        <f>"000054"</f>
        <v>000054</v>
      </c>
      <c r="Q46" s="10">
        <v>42916</v>
      </c>
      <c r="R46" s="11">
        <v>16</v>
      </c>
      <c r="S46" s="11" t="str">
        <f>"005514"</f>
        <v>005514</v>
      </c>
      <c r="T46" s="10">
        <v>43341</v>
      </c>
      <c r="U46" s="14">
        <v>49.945520000000002</v>
      </c>
      <c r="V46" s="14">
        <v>7.2920499999999997</v>
      </c>
      <c r="W46" s="14">
        <v>42.653469999999999</v>
      </c>
      <c r="X46" s="11">
        <v>189</v>
      </c>
      <c r="Y46" s="10">
        <v>43346</v>
      </c>
      <c r="Z46" s="11">
        <v>9449863065</v>
      </c>
      <c r="AA46" s="12" t="s">
        <v>182</v>
      </c>
      <c r="AB46" s="11" t="s">
        <v>183</v>
      </c>
      <c r="AC46" s="12" t="s">
        <v>184</v>
      </c>
      <c r="AD46" s="11" t="s">
        <v>84</v>
      </c>
      <c r="AE46" s="12" t="s">
        <v>85</v>
      </c>
      <c r="AF46" s="14">
        <f t="shared" ref="AF46:AF84" si="0">U46/100</f>
        <v>0.49945520000000004</v>
      </c>
      <c r="AG46" s="11" t="s">
        <v>44</v>
      </c>
    </row>
    <row r="47" spans="1:33" x14ac:dyDescent="0.2">
      <c r="A47" s="8">
        <v>5158</v>
      </c>
      <c r="B47" s="9" t="s">
        <v>179</v>
      </c>
      <c r="C47" s="10">
        <v>43346</v>
      </c>
      <c r="D47" s="11">
        <v>7</v>
      </c>
      <c r="E47" s="12" t="s">
        <v>34</v>
      </c>
      <c r="F47" s="12" t="s">
        <v>34</v>
      </c>
      <c r="G47" s="12" t="s">
        <v>34</v>
      </c>
      <c r="H47" s="12" t="s">
        <v>35</v>
      </c>
      <c r="I47" s="11" t="s">
        <v>185</v>
      </c>
      <c r="J47" s="12" t="s">
        <v>186</v>
      </c>
      <c r="K47" s="13" t="s">
        <v>54</v>
      </c>
      <c r="L47" s="11" t="str">
        <f>"000036"</f>
        <v>000036</v>
      </c>
      <c r="M47" s="10">
        <v>42784</v>
      </c>
      <c r="N47" s="11" t="str">
        <f>"000055"</f>
        <v>000055</v>
      </c>
      <c r="O47" s="10">
        <v>42916</v>
      </c>
      <c r="P47" s="11" t="str">
        <f>"000055"</f>
        <v>000055</v>
      </c>
      <c r="Q47" s="10">
        <v>42916</v>
      </c>
      <c r="R47" s="11">
        <v>16</v>
      </c>
      <c r="S47" s="11" t="str">
        <f>"005515"</f>
        <v>005515</v>
      </c>
      <c r="T47" s="10">
        <v>43341</v>
      </c>
      <c r="U47" s="14">
        <v>47.98809</v>
      </c>
      <c r="V47" s="14">
        <v>7.0062600000000002</v>
      </c>
      <c r="W47" s="14">
        <v>40.981830000000002</v>
      </c>
      <c r="X47" s="11">
        <v>189</v>
      </c>
      <c r="Y47" s="10">
        <v>43346</v>
      </c>
      <c r="Z47" s="11">
        <v>9449863065</v>
      </c>
      <c r="AA47" s="12" t="s">
        <v>187</v>
      </c>
      <c r="AB47" s="11" t="s">
        <v>183</v>
      </c>
      <c r="AC47" s="12" t="s">
        <v>184</v>
      </c>
      <c r="AD47" s="11" t="s">
        <v>84</v>
      </c>
      <c r="AE47" s="12" t="s">
        <v>85</v>
      </c>
      <c r="AF47" s="14">
        <f t="shared" si="0"/>
        <v>0.4798809</v>
      </c>
      <c r="AG47" s="11" t="s">
        <v>44</v>
      </c>
    </row>
    <row r="48" spans="1:33" x14ac:dyDescent="0.2">
      <c r="A48" s="8">
        <v>5159</v>
      </c>
      <c r="B48" s="9" t="s">
        <v>179</v>
      </c>
      <c r="C48" s="10">
        <v>43346</v>
      </c>
      <c r="D48" s="11">
        <v>7</v>
      </c>
      <c r="E48" s="12" t="s">
        <v>34</v>
      </c>
      <c r="F48" s="12" t="s">
        <v>34</v>
      </c>
      <c r="G48" s="12" t="s">
        <v>34</v>
      </c>
      <c r="H48" s="12" t="s">
        <v>35</v>
      </c>
      <c r="I48" s="11" t="s">
        <v>188</v>
      </c>
      <c r="J48" s="12" t="s">
        <v>189</v>
      </c>
      <c r="K48" s="13" t="s">
        <v>60</v>
      </c>
      <c r="L48" s="11" t="str">
        <f>"000241"</f>
        <v>000241</v>
      </c>
      <c r="M48" s="10">
        <v>42819</v>
      </c>
      <c r="N48" s="11" t="str">
        <f>"000009"</f>
        <v>000009</v>
      </c>
      <c r="O48" s="10">
        <v>43004</v>
      </c>
      <c r="P48" s="11" t="str">
        <f>"000030"</f>
        <v>000030</v>
      </c>
      <c r="Q48" s="10">
        <v>43006</v>
      </c>
      <c r="R48" s="11">
        <v>17</v>
      </c>
      <c r="S48" s="11" t="str">
        <f>"005540"</f>
        <v>005540</v>
      </c>
      <c r="T48" s="10">
        <v>43341</v>
      </c>
      <c r="U48" s="14">
        <v>22.595140000000001</v>
      </c>
      <c r="V48" s="14">
        <v>0.97158999999999995</v>
      </c>
      <c r="W48" s="14">
        <v>21.623550000000002</v>
      </c>
      <c r="X48" s="11">
        <v>191</v>
      </c>
      <c r="Y48" s="10">
        <v>43346</v>
      </c>
      <c r="Z48" s="11">
        <v>9449109576</v>
      </c>
      <c r="AA48" s="12" t="s">
        <v>190</v>
      </c>
      <c r="AB48" s="11" t="s">
        <v>94</v>
      </c>
      <c r="AC48" s="12" t="s">
        <v>95</v>
      </c>
      <c r="AD48" s="11" t="s">
        <v>42</v>
      </c>
      <c r="AE48" s="12" t="s">
        <v>43</v>
      </c>
      <c r="AF48" s="14">
        <f t="shared" si="0"/>
        <v>0.2259514</v>
      </c>
      <c r="AG48" s="11" t="s">
        <v>44</v>
      </c>
    </row>
    <row r="49" spans="1:33" x14ac:dyDescent="0.2">
      <c r="A49" s="8">
        <v>5410</v>
      </c>
      <c r="B49" s="9" t="s">
        <v>179</v>
      </c>
      <c r="C49" s="10">
        <v>43354</v>
      </c>
      <c r="D49" s="11">
        <v>7</v>
      </c>
      <c r="E49" s="12" t="s">
        <v>34</v>
      </c>
      <c r="F49" s="12" t="s">
        <v>34</v>
      </c>
      <c r="G49" s="12" t="s">
        <v>34</v>
      </c>
      <c r="H49" s="12" t="s">
        <v>35</v>
      </c>
      <c r="I49" s="11" t="s">
        <v>191</v>
      </c>
      <c r="J49" s="12" t="s">
        <v>192</v>
      </c>
      <c r="K49" s="13" t="s">
        <v>68</v>
      </c>
      <c r="L49" s="11" t="str">
        <f>"000084"</f>
        <v>000084</v>
      </c>
      <c r="M49" s="10">
        <v>43326</v>
      </c>
      <c r="N49" s="11" t="str">
        <f>"000028"</f>
        <v>000028</v>
      </c>
      <c r="O49" s="10">
        <v>43326</v>
      </c>
      <c r="P49" s="11" t="str">
        <f>"000085"</f>
        <v>000085</v>
      </c>
      <c r="Q49" s="10">
        <v>43342</v>
      </c>
      <c r="R49" s="11">
        <v>16</v>
      </c>
      <c r="S49" s="11" t="str">
        <f>"005725"</f>
        <v>005725</v>
      </c>
      <c r="T49" s="10">
        <v>43353</v>
      </c>
      <c r="U49" s="14">
        <v>78.796419999999998</v>
      </c>
      <c r="V49" s="14">
        <v>7.3402700000000003</v>
      </c>
      <c r="W49" s="14">
        <v>71.456149999999994</v>
      </c>
      <c r="X49" s="11">
        <v>199</v>
      </c>
      <c r="Y49" s="10">
        <v>43354</v>
      </c>
      <c r="Z49" s="11">
        <v>9342471293</v>
      </c>
      <c r="AA49" s="12" t="s">
        <v>193</v>
      </c>
      <c r="AB49" s="11" t="s">
        <v>62</v>
      </c>
      <c r="AC49" s="12" t="s">
        <v>63</v>
      </c>
      <c r="AD49" s="11" t="s">
        <v>42</v>
      </c>
      <c r="AE49" s="12" t="s">
        <v>43</v>
      </c>
      <c r="AF49" s="14">
        <f t="shared" si="0"/>
        <v>0.7879642</v>
      </c>
      <c r="AG49" s="11" t="s">
        <v>175</v>
      </c>
    </row>
    <row r="50" spans="1:33" x14ac:dyDescent="0.2">
      <c r="A50" s="8">
        <v>5436</v>
      </c>
      <c r="B50" s="9" t="s">
        <v>179</v>
      </c>
      <c r="C50" s="10">
        <v>43357</v>
      </c>
      <c r="D50" s="11">
        <v>7</v>
      </c>
      <c r="E50" s="12" t="s">
        <v>34</v>
      </c>
      <c r="F50" s="12" t="s">
        <v>34</v>
      </c>
      <c r="G50" s="12" t="s">
        <v>34</v>
      </c>
      <c r="H50" s="12" t="s">
        <v>35</v>
      </c>
      <c r="I50" s="11" t="s">
        <v>194</v>
      </c>
      <c r="J50" s="12" t="s">
        <v>195</v>
      </c>
      <c r="K50" s="13" t="s">
        <v>38</v>
      </c>
      <c r="L50" s="11" t="str">
        <f>"000069"</f>
        <v>000069</v>
      </c>
      <c r="M50" s="10">
        <v>42129</v>
      </c>
      <c r="N50" s="11" t="str">
        <f>"000006"</f>
        <v>000006</v>
      </c>
      <c r="O50" s="10">
        <v>42993</v>
      </c>
      <c r="P50" s="11" t="str">
        <f>"000016"</f>
        <v>000016</v>
      </c>
      <c r="Q50" s="10">
        <v>42993</v>
      </c>
      <c r="R50" s="11">
        <v>15</v>
      </c>
      <c r="S50" s="11" t="str">
        <f>"005680"</f>
        <v>005680</v>
      </c>
      <c r="T50" s="10">
        <v>43350</v>
      </c>
      <c r="U50" s="14">
        <v>17.315300000000001</v>
      </c>
      <c r="V50" s="14">
        <v>0.87575000000000003</v>
      </c>
      <c r="W50" s="14">
        <v>16.439550000000001</v>
      </c>
      <c r="X50" s="11">
        <v>204</v>
      </c>
      <c r="Y50" s="10">
        <v>43357</v>
      </c>
      <c r="Z50" s="11">
        <v>9448000937</v>
      </c>
      <c r="AA50" s="12" t="s">
        <v>196</v>
      </c>
      <c r="AB50" s="11" t="s">
        <v>76</v>
      </c>
      <c r="AC50" s="12" t="s">
        <v>77</v>
      </c>
      <c r="AD50" s="11" t="s">
        <v>42</v>
      </c>
      <c r="AE50" s="12" t="s">
        <v>43</v>
      </c>
      <c r="AF50" s="14">
        <f t="shared" si="0"/>
        <v>0.173153</v>
      </c>
      <c r="AG50" s="11" t="s">
        <v>44</v>
      </c>
    </row>
    <row r="51" spans="1:33" x14ac:dyDescent="0.2">
      <c r="A51" s="8">
        <v>5437</v>
      </c>
      <c r="B51" s="9" t="s">
        <v>179</v>
      </c>
      <c r="C51" s="10">
        <v>43357</v>
      </c>
      <c r="D51" s="11">
        <v>7</v>
      </c>
      <c r="E51" s="12" t="s">
        <v>34</v>
      </c>
      <c r="F51" s="12" t="s">
        <v>34</v>
      </c>
      <c r="G51" s="12" t="s">
        <v>34</v>
      </c>
      <c r="H51" s="12" t="s">
        <v>35</v>
      </c>
      <c r="I51" s="11" t="s">
        <v>194</v>
      </c>
      <c r="J51" s="12" t="s">
        <v>195</v>
      </c>
      <c r="K51" s="13" t="s">
        <v>38</v>
      </c>
      <c r="L51" s="11" t="str">
        <f>"000069"</f>
        <v>000069</v>
      </c>
      <c r="M51" s="10">
        <v>42129</v>
      </c>
      <c r="N51" s="11" t="str">
        <f>"000006"</f>
        <v>000006</v>
      </c>
      <c r="O51" s="10">
        <v>42993</v>
      </c>
      <c r="P51" s="11" t="str">
        <f>"000016"</f>
        <v>000016</v>
      </c>
      <c r="Q51" s="10">
        <v>42993</v>
      </c>
      <c r="R51" s="11">
        <v>15</v>
      </c>
      <c r="S51" s="11" t="str">
        <f>"005680"</f>
        <v>005680</v>
      </c>
      <c r="T51" s="10">
        <v>43350</v>
      </c>
      <c r="U51" s="14">
        <v>0.44202000000000002</v>
      </c>
      <c r="V51" s="14">
        <v>1.8120000000000001E-2</v>
      </c>
      <c r="W51" s="14">
        <v>0.4239</v>
      </c>
      <c r="X51" s="11">
        <v>204</v>
      </c>
      <c r="Y51" s="10">
        <v>43357</v>
      </c>
      <c r="Z51" s="11">
        <v>9448000937</v>
      </c>
      <c r="AA51" s="12" t="s">
        <v>196</v>
      </c>
      <c r="AB51" s="11" t="s">
        <v>76</v>
      </c>
      <c r="AC51" s="12" t="s">
        <v>77</v>
      </c>
      <c r="AD51" s="11" t="s">
        <v>42</v>
      </c>
      <c r="AE51" s="12" t="s">
        <v>43</v>
      </c>
      <c r="AF51" s="14">
        <f t="shared" si="0"/>
        <v>4.4202E-3</v>
      </c>
      <c r="AG51" s="11" t="s">
        <v>44</v>
      </c>
    </row>
    <row r="52" spans="1:33" x14ac:dyDescent="0.2">
      <c r="A52" s="8">
        <v>5588</v>
      </c>
      <c r="B52" s="9" t="s">
        <v>179</v>
      </c>
      <c r="C52" s="10">
        <v>43370</v>
      </c>
      <c r="D52" s="11">
        <v>7</v>
      </c>
      <c r="E52" s="12" t="s">
        <v>34</v>
      </c>
      <c r="F52" s="12" t="s">
        <v>34</v>
      </c>
      <c r="G52" s="12" t="s">
        <v>34</v>
      </c>
      <c r="H52" s="12" t="s">
        <v>35</v>
      </c>
      <c r="I52" s="11" t="s">
        <v>197</v>
      </c>
      <c r="J52" s="12" t="s">
        <v>198</v>
      </c>
      <c r="K52" s="13" t="s">
        <v>54</v>
      </c>
      <c r="L52" s="11" t="str">
        <f>"000270"</f>
        <v>000270</v>
      </c>
      <c r="M52" s="10">
        <v>42430</v>
      </c>
      <c r="N52" s="11" t="str">
        <f>"000011"</f>
        <v>000011</v>
      </c>
      <c r="O52" s="10">
        <v>42852</v>
      </c>
      <c r="P52" s="11" t="str">
        <f>"000010"</f>
        <v>000010</v>
      </c>
      <c r="Q52" s="10">
        <v>42852</v>
      </c>
      <c r="R52" s="11">
        <v>16</v>
      </c>
      <c r="S52" s="11" t="str">
        <f>"005861"</f>
        <v>005861</v>
      </c>
      <c r="T52" s="10">
        <v>43363</v>
      </c>
      <c r="U52" s="14">
        <v>9.4482199999999992</v>
      </c>
      <c r="V52" s="14">
        <v>0.81074999999999997</v>
      </c>
      <c r="W52" s="14">
        <v>8.6374700000000004</v>
      </c>
      <c r="X52" s="11">
        <v>217</v>
      </c>
      <c r="Y52" s="10">
        <v>43370</v>
      </c>
      <c r="Z52" s="11">
        <v>9341705164</v>
      </c>
      <c r="AA52" s="12" t="s">
        <v>199</v>
      </c>
      <c r="AB52" s="11" t="s">
        <v>76</v>
      </c>
      <c r="AC52" s="12" t="s">
        <v>77</v>
      </c>
      <c r="AD52" s="11" t="s">
        <v>42</v>
      </c>
      <c r="AE52" s="12" t="s">
        <v>43</v>
      </c>
      <c r="AF52" s="14">
        <f t="shared" si="0"/>
        <v>9.4482199999999988E-2</v>
      </c>
      <c r="AG52" s="11" t="s">
        <v>44</v>
      </c>
    </row>
    <row r="53" spans="1:33" x14ac:dyDescent="0.2">
      <c r="A53" s="8">
        <v>5589</v>
      </c>
      <c r="B53" s="9" t="s">
        <v>179</v>
      </c>
      <c r="C53" s="10">
        <v>43370</v>
      </c>
      <c r="D53" s="11">
        <v>7</v>
      </c>
      <c r="E53" s="12" t="s">
        <v>34</v>
      </c>
      <c r="F53" s="12" t="s">
        <v>34</v>
      </c>
      <c r="G53" s="12" t="s">
        <v>34</v>
      </c>
      <c r="H53" s="12" t="s">
        <v>35</v>
      </c>
      <c r="I53" s="11" t="s">
        <v>200</v>
      </c>
      <c r="J53" s="12" t="s">
        <v>201</v>
      </c>
      <c r="K53" s="13" t="s">
        <v>92</v>
      </c>
      <c r="L53" s="11" t="str">
        <f>"000240"</f>
        <v>000240</v>
      </c>
      <c r="M53" s="10">
        <v>42818</v>
      </c>
      <c r="N53" s="11" t="str">
        <f>"000025"</f>
        <v>000025</v>
      </c>
      <c r="O53" s="10">
        <v>43080</v>
      </c>
      <c r="P53" s="11" t="str">
        <f>"000061"</f>
        <v>000061</v>
      </c>
      <c r="Q53" s="10">
        <v>43083</v>
      </c>
      <c r="R53" s="11">
        <v>17</v>
      </c>
      <c r="S53" s="11" t="str">
        <f>"005948"</f>
        <v>005948</v>
      </c>
      <c r="T53" s="10">
        <v>43368</v>
      </c>
      <c r="U53" s="14">
        <v>13.61101</v>
      </c>
      <c r="V53" s="14">
        <v>0.58204999999999996</v>
      </c>
      <c r="W53" s="14">
        <v>13.02896</v>
      </c>
      <c r="X53" s="11">
        <v>218</v>
      </c>
      <c r="Y53" s="10">
        <v>43370</v>
      </c>
      <c r="Z53" s="11">
        <v>9739449007</v>
      </c>
      <c r="AA53" s="12" t="s">
        <v>202</v>
      </c>
      <c r="AB53" s="11" t="s">
        <v>94</v>
      </c>
      <c r="AC53" s="12" t="s">
        <v>95</v>
      </c>
      <c r="AD53" s="11" t="s">
        <v>42</v>
      </c>
      <c r="AE53" s="12" t="s">
        <v>43</v>
      </c>
      <c r="AF53" s="14">
        <f t="shared" si="0"/>
        <v>0.13611010000000001</v>
      </c>
      <c r="AG53" s="11" t="s">
        <v>44</v>
      </c>
    </row>
    <row r="54" spans="1:33" x14ac:dyDescent="0.2">
      <c r="A54" s="8">
        <v>5850</v>
      </c>
      <c r="B54" s="9" t="s">
        <v>203</v>
      </c>
      <c r="C54" s="10">
        <v>43382</v>
      </c>
      <c r="D54" s="11">
        <v>7</v>
      </c>
      <c r="E54" s="12" t="s">
        <v>34</v>
      </c>
      <c r="F54" s="12" t="s">
        <v>34</v>
      </c>
      <c r="G54" s="12" t="s">
        <v>34</v>
      </c>
      <c r="H54" s="12" t="s">
        <v>35</v>
      </c>
      <c r="I54" s="11" t="s">
        <v>204</v>
      </c>
      <c r="J54" s="12" t="s">
        <v>205</v>
      </c>
      <c r="K54" s="13" t="s">
        <v>38</v>
      </c>
      <c r="L54" s="11" t="str">
        <f>"000070"</f>
        <v>000070</v>
      </c>
      <c r="M54" s="10">
        <v>43307</v>
      </c>
      <c r="N54" s="11" t="str">
        <f>"000048"</f>
        <v>000048</v>
      </c>
      <c r="O54" s="10">
        <v>43433</v>
      </c>
      <c r="P54" s="11" t="str">
        <f>"000155"</f>
        <v>000155</v>
      </c>
      <c r="Q54" s="10">
        <v>43433</v>
      </c>
      <c r="R54" s="11">
        <v>18</v>
      </c>
      <c r="S54" s="11" t="str">
        <f>"008237"</f>
        <v>008237</v>
      </c>
      <c r="T54" s="10">
        <v>43456</v>
      </c>
      <c r="U54" s="14">
        <v>60.632460000000002</v>
      </c>
      <c r="V54" s="14">
        <v>1.2732699999999999</v>
      </c>
      <c r="W54" s="14">
        <v>59.359189999999998</v>
      </c>
      <c r="X54" s="11">
        <v>223</v>
      </c>
      <c r="Y54" s="10">
        <v>43382</v>
      </c>
      <c r="Z54" s="11">
        <v>9886213563</v>
      </c>
      <c r="AA54" s="12" t="s">
        <v>206</v>
      </c>
      <c r="AB54" s="11" t="s">
        <v>207</v>
      </c>
      <c r="AC54" s="12" t="s">
        <v>208</v>
      </c>
      <c r="AD54" s="11" t="s">
        <v>42</v>
      </c>
      <c r="AE54" s="12" t="s">
        <v>43</v>
      </c>
      <c r="AF54" s="14">
        <f t="shared" si="0"/>
        <v>0.60632459999999999</v>
      </c>
      <c r="AG54" s="11" t="s">
        <v>175</v>
      </c>
    </row>
    <row r="55" spans="1:33" x14ac:dyDescent="0.2">
      <c r="A55" s="8">
        <v>5851</v>
      </c>
      <c r="B55" s="9" t="s">
        <v>203</v>
      </c>
      <c r="C55" s="10">
        <v>43382</v>
      </c>
      <c r="D55" s="11">
        <v>7</v>
      </c>
      <c r="E55" s="12" t="s">
        <v>34</v>
      </c>
      <c r="F55" s="12" t="s">
        <v>34</v>
      </c>
      <c r="G55" s="12" t="s">
        <v>34</v>
      </c>
      <c r="H55" s="12" t="s">
        <v>35</v>
      </c>
      <c r="I55" s="11" t="s">
        <v>209</v>
      </c>
      <c r="J55" s="12" t="s">
        <v>210</v>
      </c>
      <c r="K55" s="13" t="s">
        <v>211</v>
      </c>
      <c r="L55" s="11" t="str">
        <f>"000071"</f>
        <v>000071</v>
      </c>
      <c r="M55" s="10">
        <v>43307</v>
      </c>
      <c r="N55" s="11" t="str">
        <f>"000034"</f>
        <v>000034</v>
      </c>
      <c r="O55" s="10">
        <v>43367</v>
      </c>
      <c r="P55" s="11" t="str">
        <f>"000103"</f>
        <v>000103</v>
      </c>
      <c r="Q55" s="10">
        <v>43367</v>
      </c>
      <c r="R55" s="11">
        <v>18</v>
      </c>
      <c r="S55" s="11" t="str">
        <f>"006431"</f>
        <v>006431</v>
      </c>
      <c r="T55" s="10">
        <v>43382</v>
      </c>
      <c r="U55" s="14">
        <v>137.87078</v>
      </c>
      <c r="V55" s="14">
        <v>5.7905800000000003</v>
      </c>
      <c r="W55" s="14">
        <v>132.08019999999999</v>
      </c>
      <c r="X55" s="11">
        <v>223</v>
      </c>
      <c r="Y55" s="10">
        <v>43382</v>
      </c>
      <c r="Z55" s="11">
        <v>9901908019</v>
      </c>
      <c r="AA55" s="12" t="s">
        <v>212</v>
      </c>
      <c r="AB55" s="11" t="s">
        <v>213</v>
      </c>
      <c r="AC55" s="12" t="s">
        <v>214</v>
      </c>
      <c r="AD55" s="11" t="s">
        <v>42</v>
      </c>
      <c r="AE55" s="12" t="s">
        <v>43</v>
      </c>
      <c r="AF55" s="14">
        <f t="shared" si="0"/>
        <v>1.3787077999999999</v>
      </c>
      <c r="AG55" s="11" t="s">
        <v>175</v>
      </c>
    </row>
    <row r="56" spans="1:33" x14ac:dyDescent="0.2">
      <c r="A56" s="8">
        <v>5852</v>
      </c>
      <c r="B56" s="9" t="s">
        <v>203</v>
      </c>
      <c r="C56" s="10">
        <v>43382</v>
      </c>
      <c r="D56" s="11">
        <v>7</v>
      </c>
      <c r="E56" s="12" t="s">
        <v>34</v>
      </c>
      <c r="F56" s="12" t="s">
        <v>34</v>
      </c>
      <c r="G56" s="12" t="s">
        <v>34</v>
      </c>
      <c r="H56" s="12" t="s">
        <v>35</v>
      </c>
      <c r="I56" s="11" t="s">
        <v>215</v>
      </c>
      <c r="J56" s="12" t="s">
        <v>216</v>
      </c>
      <c r="K56" s="13" t="s">
        <v>68</v>
      </c>
      <c r="L56" s="11" t="str">
        <f>"000072"</f>
        <v>000072</v>
      </c>
      <c r="M56" s="10">
        <v>43307</v>
      </c>
      <c r="N56" s="11" t="str">
        <f>"000035"</f>
        <v>000035</v>
      </c>
      <c r="O56" s="10">
        <v>43367</v>
      </c>
      <c r="P56" s="11" t="str">
        <f>"000104"</f>
        <v>000104</v>
      </c>
      <c r="Q56" s="10">
        <v>43367</v>
      </c>
      <c r="R56" s="11">
        <v>18</v>
      </c>
      <c r="S56" s="11" t="str">
        <f>"006432"</f>
        <v>006432</v>
      </c>
      <c r="T56" s="10">
        <v>43382</v>
      </c>
      <c r="U56" s="14">
        <v>158.48215999999999</v>
      </c>
      <c r="V56" s="14">
        <v>3.3281200000000002</v>
      </c>
      <c r="W56" s="14">
        <v>155.15404000000001</v>
      </c>
      <c r="X56" s="11">
        <v>223</v>
      </c>
      <c r="Y56" s="10">
        <v>43382</v>
      </c>
      <c r="Z56" s="11">
        <v>9886213563</v>
      </c>
      <c r="AA56" s="12" t="s">
        <v>206</v>
      </c>
      <c r="AB56" s="11" t="s">
        <v>217</v>
      </c>
      <c r="AC56" s="12" t="s">
        <v>218</v>
      </c>
      <c r="AD56" s="11" t="s">
        <v>42</v>
      </c>
      <c r="AE56" s="12" t="s">
        <v>43</v>
      </c>
      <c r="AF56" s="14">
        <f t="shared" si="0"/>
        <v>1.5848215999999999</v>
      </c>
      <c r="AG56" s="11" t="s">
        <v>175</v>
      </c>
    </row>
    <row r="57" spans="1:33" x14ac:dyDescent="0.2">
      <c r="A57" s="8">
        <v>5853</v>
      </c>
      <c r="B57" s="9" t="s">
        <v>203</v>
      </c>
      <c r="C57" s="10">
        <v>43382</v>
      </c>
      <c r="D57" s="11">
        <v>7</v>
      </c>
      <c r="E57" s="12" t="s">
        <v>34</v>
      </c>
      <c r="F57" s="12" t="s">
        <v>34</v>
      </c>
      <c r="G57" s="12" t="s">
        <v>34</v>
      </c>
      <c r="H57" s="12" t="s">
        <v>35</v>
      </c>
      <c r="I57" s="11" t="s">
        <v>204</v>
      </c>
      <c r="J57" s="12" t="s">
        <v>205</v>
      </c>
      <c r="K57" s="13" t="s">
        <v>38</v>
      </c>
      <c r="L57" s="11" t="str">
        <f>"000070"</f>
        <v>000070</v>
      </c>
      <c r="M57" s="10">
        <v>43307</v>
      </c>
      <c r="N57" s="11" t="str">
        <f>"000048"</f>
        <v>000048</v>
      </c>
      <c r="O57" s="10">
        <v>43433</v>
      </c>
      <c r="P57" s="11" t="str">
        <f>"000155"</f>
        <v>000155</v>
      </c>
      <c r="Q57" s="10">
        <v>43433</v>
      </c>
      <c r="R57" s="11">
        <v>18</v>
      </c>
      <c r="S57" s="11" t="str">
        <f>"008237"</f>
        <v>008237</v>
      </c>
      <c r="T57" s="10">
        <v>43456</v>
      </c>
      <c r="U57" s="14">
        <v>60.632460000000002</v>
      </c>
      <c r="V57" s="14">
        <v>1.2732699999999999</v>
      </c>
      <c r="W57" s="14">
        <v>59.359189999999998</v>
      </c>
      <c r="X57" s="11">
        <v>223</v>
      </c>
      <c r="Y57" s="10">
        <v>43382</v>
      </c>
      <c r="Z57" s="11">
        <v>9886213563</v>
      </c>
      <c r="AA57" s="12" t="s">
        <v>206</v>
      </c>
      <c r="AB57" s="11" t="s">
        <v>207</v>
      </c>
      <c r="AC57" s="12" t="s">
        <v>208</v>
      </c>
      <c r="AD57" s="11" t="s">
        <v>42</v>
      </c>
      <c r="AE57" s="12" t="s">
        <v>43</v>
      </c>
      <c r="AF57" s="14">
        <f t="shared" si="0"/>
        <v>0.60632459999999999</v>
      </c>
      <c r="AG57" s="11" t="s">
        <v>175</v>
      </c>
    </row>
    <row r="58" spans="1:33" x14ac:dyDescent="0.2">
      <c r="A58" s="8">
        <v>5854</v>
      </c>
      <c r="B58" s="9" t="s">
        <v>203</v>
      </c>
      <c r="C58" s="10">
        <v>43382</v>
      </c>
      <c r="D58" s="11">
        <v>7</v>
      </c>
      <c r="E58" s="12" t="s">
        <v>34</v>
      </c>
      <c r="F58" s="12" t="s">
        <v>34</v>
      </c>
      <c r="G58" s="12" t="s">
        <v>34</v>
      </c>
      <c r="H58" s="12" t="s">
        <v>35</v>
      </c>
      <c r="I58" s="11" t="s">
        <v>209</v>
      </c>
      <c r="J58" s="12" t="s">
        <v>210</v>
      </c>
      <c r="K58" s="13" t="s">
        <v>211</v>
      </c>
      <c r="L58" s="11" t="str">
        <f>"000071"</f>
        <v>000071</v>
      </c>
      <c r="M58" s="10">
        <v>43307</v>
      </c>
      <c r="N58" s="11" t="str">
        <f>"000034"</f>
        <v>000034</v>
      </c>
      <c r="O58" s="10">
        <v>43367</v>
      </c>
      <c r="P58" s="11" t="str">
        <f>"000103"</f>
        <v>000103</v>
      </c>
      <c r="Q58" s="10">
        <v>43367</v>
      </c>
      <c r="R58" s="11">
        <v>18</v>
      </c>
      <c r="S58" s="11" t="str">
        <f>"006431"</f>
        <v>006431</v>
      </c>
      <c r="T58" s="10">
        <v>43382</v>
      </c>
      <c r="U58" s="14">
        <v>137.87078</v>
      </c>
      <c r="V58" s="14">
        <v>5.7905800000000003</v>
      </c>
      <c r="W58" s="14">
        <v>132.08019999999999</v>
      </c>
      <c r="X58" s="11">
        <v>223</v>
      </c>
      <c r="Y58" s="10">
        <v>43382</v>
      </c>
      <c r="Z58" s="11">
        <v>9901908019</v>
      </c>
      <c r="AA58" s="12" t="s">
        <v>212</v>
      </c>
      <c r="AB58" s="11" t="s">
        <v>213</v>
      </c>
      <c r="AC58" s="12" t="s">
        <v>214</v>
      </c>
      <c r="AD58" s="11" t="s">
        <v>42</v>
      </c>
      <c r="AE58" s="12" t="s">
        <v>43</v>
      </c>
      <c r="AF58" s="14">
        <f t="shared" si="0"/>
        <v>1.3787077999999999</v>
      </c>
      <c r="AG58" s="11" t="s">
        <v>175</v>
      </c>
    </row>
    <row r="59" spans="1:33" x14ac:dyDescent="0.2">
      <c r="A59" s="8">
        <v>5855</v>
      </c>
      <c r="B59" s="9" t="s">
        <v>203</v>
      </c>
      <c r="C59" s="10">
        <v>43382</v>
      </c>
      <c r="D59" s="11">
        <v>7</v>
      </c>
      <c r="E59" s="12" t="s">
        <v>34</v>
      </c>
      <c r="F59" s="12" t="s">
        <v>34</v>
      </c>
      <c r="G59" s="12" t="s">
        <v>34</v>
      </c>
      <c r="H59" s="12" t="s">
        <v>35</v>
      </c>
      <c r="I59" s="11" t="s">
        <v>215</v>
      </c>
      <c r="J59" s="12" t="s">
        <v>216</v>
      </c>
      <c r="K59" s="13" t="s">
        <v>68</v>
      </c>
      <c r="L59" s="11" t="str">
        <f>"000072"</f>
        <v>000072</v>
      </c>
      <c r="M59" s="10">
        <v>43307</v>
      </c>
      <c r="N59" s="11" t="str">
        <f>"000035"</f>
        <v>000035</v>
      </c>
      <c r="O59" s="10">
        <v>43367</v>
      </c>
      <c r="P59" s="11" t="str">
        <f>"000104"</f>
        <v>000104</v>
      </c>
      <c r="Q59" s="10">
        <v>43367</v>
      </c>
      <c r="R59" s="11">
        <v>18</v>
      </c>
      <c r="S59" s="11" t="str">
        <f>"006432"</f>
        <v>006432</v>
      </c>
      <c r="T59" s="10">
        <v>43382</v>
      </c>
      <c r="U59" s="14">
        <v>158.48215999999999</v>
      </c>
      <c r="V59" s="14">
        <v>3.3281200000000002</v>
      </c>
      <c r="W59" s="14">
        <v>155.15404000000001</v>
      </c>
      <c r="X59" s="11">
        <v>223</v>
      </c>
      <c r="Y59" s="10">
        <v>43382</v>
      </c>
      <c r="Z59" s="11">
        <v>9886213563</v>
      </c>
      <c r="AA59" s="12" t="s">
        <v>206</v>
      </c>
      <c r="AB59" s="11" t="s">
        <v>217</v>
      </c>
      <c r="AC59" s="12" t="s">
        <v>218</v>
      </c>
      <c r="AD59" s="11" t="s">
        <v>42</v>
      </c>
      <c r="AE59" s="12" t="s">
        <v>43</v>
      </c>
      <c r="AF59" s="14">
        <f t="shared" si="0"/>
        <v>1.5848215999999999</v>
      </c>
      <c r="AG59" s="11" t="s">
        <v>175</v>
      </c>
    </row>
    <row r="60" spans="1:33" x14ac:dyDescent="0.2">
      <c r="A60" s="8">
        <v>5906</v>
      </c>
      <c r="B60" s="9" t="s">
        <v>203</v>
      </c>
      <c r="C60" s="10">
        <v>43385</v>
      </c>
      <c r="D60" s="11">
        <v>7</v>
      </c>
      <c r="E60" s="12" t="s">
        <v>34</v>
      </c>
      <c r="F60" s="12" t="s">
        <v>34</v>
      </c>
      <c r="G60" s="12" t="s">
        <v>34</v>
      </c>
      <c r="H60" s="12" t="s">
        <v>35</v>
      </c>
      <c r="I60" s="11" t="s">
        <v>45</v>
      </c>
      <c r="J60" s="12" t="s">
        <v>46</v>
      </c>
      <c r="K60" s="13" t="s">
        <v>38</v>
      </c>
      <c r="L60" s="11" t="str">
        <f>"000256"</f>
        <v>000256</v>
      </c>
      <c r="M60" s="10">
        <v>42825</v>
      </c>
      <c r="N60" s="11" t="str">
        <f>"000039"</f>
        <v>000039</v>
      </c>
      <c r="O60" s="10">
        <v>43150</v>
      </c>
      <c r="P60" s="11" t="str">
        <f>"000113"</f>
        <v>000113</v>
      </c>
      <c r="Q60" s="10">
        <v>43152</v>
      </c>
      <c r="R60" s="11">
        <v>16</v>
      </c>
      <c r="S60" s="11" t="str">
        <f>"000032"</f>
        <v>000032</v>
      </c>
      <c r="T60" s="10">
        <v>43191</v>
      </c>
      <c r="U60" s="14">
        <v>76.613410000000002</v>
      </c>
      <c r="V60" s="14">
        <v>3.4092899999999999</v>
      </c>
      <c r="W60" s="14">
        <v>73.204120000000003</v>
      </c>
      <c r="X60" s="11">
        <v>227</v>
      </c>
      <c r="Y60" s="10">
        <v>43385</v>
      </c>
      <c r="Z60" s="11">
        <v>0</v>
      </c>
      <c r="AA60" s="12" t="s">
        <v>51</v>
      </c>
      <c r="AB60" s="11" t="s">
        <v>47</v>
      </c>
      <c r="AC60" s="12" t="s">
        <v>48</v>
      </c>
      <c r="AD60" s="11" t="s">
        <v>42</v>
      </c>
      <c r="AE60" s="12" t="s">
        <v>43</v>
      </c>
      <c r="AF60" s="14">
        <f t="shared" si="0"/>
        <v>0.76613410000000004</v>
      </c>
      <c r="AG60" s="11" t="s">
        <v>44</v>
      </c>
    </row>
    <row r="61" spans="1:33" x14ac:dyDescent="0.2">
      <c r="A61" s="8">
        <v>5907</v>
      </c>
      <c r="B61" s="9" t="s">
        <v>203</v>
      </c>
      <c r="C61" s="10">
        <v>43385</v>
      </c>
      <c r="D61" s="11">
        <v>7</v>
      </c>
      <c r="E61" s="12" t="s">
        <v>34</v>
      </c>
      <c r="F61" s="12" t="s">
        <v>34</v>
      </c>
      <c r="G61" s="12" t="s">
        <v>34</v>
      </c>
      <c r="H61" s="12" t="s">
        <v>35</v>
      </c>
      <c r="I61" s="11" t="s">
        <v>45</v>
      </c>
      <c r="J61" s="12" t="s">
        <v>46</v>
      </c>
      <c r="K61" s="13" t="s">
        <v>38</v>
      </c>
      <c r="L61" s="11" t="str">
        <f>"000256"</f>
        <v>000256</v>
      </c>
      <c r="M61" s="10">
        <v>42825</v>
      </c>
      <c r="N61" s="11" t="str">
        <f>"000039"</f>
        <v>000039</v>
      </c>
      <c r="O61" s="10">
        <v>43150</v>
      </c>
      <c r="P61" s="11" t="str">
        <f>"000113"</f>
        <v>000113</v>
      </c>
      <c r="Q61" s="10">
        <v>43152</v>
      </c>
      <c r="R61" s="11">
        <v>16</v>
      </c>
      <c r="S61" s="11" t="str">
        <f>"000032"</f>
        <v>000032</v>
      </c>
      <c r="T61" s="10">
        <v>43191</v>
      </c>
      <c r="U61" s="14">
        <v>76.613410000000002</v>
      </c>
      <c r="V61" s="14">
        <v>3.4092899999999999</v>
      </c>
      <c r="W61" s="14">
        <v>73.204120000000003</v>
      </c>
      <c r="X61" s="11">
        <v>227</v>
      </c>
      <c r="Y61" s="10">
        <v>43385</v>
      </c>
      <c r="Z61" s="11">
        <v>0</v>
      </c>
      <c r="AA61" s="12" t="s">
        <v>51</v>
      </c>
      <c r="AB61" s="11" t="s">
        <v>47</v>
      </c>
      <c r="AC61" s="12" t="s">
        <v>48</v>
      </c>
      <c r="AD61" s="11" t="s">
        <v>42</v>
      </c>
      <c r="AE61" s="12" t="s">
        <v>43</v>
      </c>
      <c r="AF61" s="14">
        <f t="shared" si="0"/>
        <v>0.76613410000000004</v>
      </c>
      <c r="AG61" s="11" t="s">
        <v>44</v>
      </c>
    </row>
    <row r="62" spans="1:33" x14ac:dyDescent="0.2">
      <c r="A62" s="8">
        <v>5908</v>
      </c>
      <c r="B62" s="9" t="s">
        <v>203</v>
      </c>
      <c r="C62" s="10">
        <v>43385</v>
      </c>
      <c r="D62" s="11">
        <v>7</v>
      </c>
      <c r="E62" s="12" t="s">
        <v>34</v>
      </c>
      <c r="F62" s="12" t="s">
        <v>34</v>
      </c>
      <c r="G62" s="12" t="s">
        <v>34</v>
      </c>
      <c r="H62" s="12" t="s">
        <v>35</v>
      </c>
      <c r="I62" s="11" t="s">
        <v>219</v>
      </c>
      <c r="J62" s="12" t="s">
        <v>220</v>
      </c>
      <c r="K62" s="13" t="s">
        <v>54</v>
      </c>
      <c r="L62" s="11" t="str">
        <f>"000186"</f>
        <v>000186</v>
      </c>
      <c r="M62" s="10">
        <v>42801</v>
      </c>
      <c r="N62" s="11" t="str">
        <f>"000012"</f>
        <v>000012</v>
      </c>
      <c r="O62" s="10">
        <v>42852</v>
      </c>
      <c r="P62" s="11" t="str">
        <f>"000028"</f>
        <v>000028</v>
      </c>
      <c r="Q62" s="10">
        <v>42853</v>
      </c>
      <c r="R62" s="11">
        <v>17</v>
      </c>
      <c r="S62" s="11" t="str">
        <f>"006021"</f>
        <v>006021</v>
      </c>
      <c r="T62" s="10">
        <v>43374</v>
      </c>
      <c r="U62" s="14">
        <v>9.6883700000000008</v>
      </c>
      <c r="V62" s="14">
        <v>0.71692999999999996</v>
      </c>
      <c r="W62" s="14">
        <v>8.9714399999999994</v>
      </c>
      <c r="X62" s="11">
        <v>230</v>
      </c>
      <c r="Y62" s="10">
        <v>43385</v>
      </c>
      <c r="Z62" s="11">
        <v>9483537866</v>
      </c>
      <c r="AA62" s="12" t="s">
        <v>221</v>
      </c>
      <c r="AB62" s="11" t="s">
        <v>76</v>
      </c>
      <c r="AC62" s="12" t="s">
        <v>77</v>
      </c>
      <c r="AD62" s="11" t="s">
        <v>42</v>
      </c>
      <c r="AE62" s="12" t="s">
        <v>43</v>
      </c>
      <c r="AF62" s="14">
        <f t="shared" si="0"/>
        <v>9.6883700000000003E-2</v>
      </c>
      <c r="AG62" s="11" t="s">
        <v>44</v>
      </c>
    </row>
    <row r="63" spans="1:33" x14ac:dyDescent="0.2">
      <c r="A63" s="8">
        <v>5909</v>
      </c>
      <c r="B63" s="9" t="s">
        <v>203</v>
      </c>
      <c r="C63" s="10">
        <v>43385</v>
      </c>
      <c r="D63" s="11">
        <v>7</v>
      </c>
      <c r="E63" s="12" t="s">
        <v>34</v>
      </c>
      <c r="F63" s="12" t="s">
        <v>34</v>
      </c>
      <c r="G63" s="12" t="s">
        <v>34</v>
      </c>
      <c r="H63" s="12" t="s">
        <v>35</v>
      </c>
      <c r="I63" s="11" t="s">
        <v>66</v>
      </c>
      <c r="J63" s="12" t="s">
        <v>67</v>
      </c>
      <c r="K63" s="13" t="s">
        <v>68</v>
      </c>
      <c r="L63" s="11" t="str">
        <f>"000074"</f>
        <v>000074</v>
      </c>
      <c r="M63" s="10">
        <v>42887</v>
      </c>
      <c r="N63" s="11" t="str">
        <f>"000047"</f>
        <v>000047</v>
      </c>
      <c r="O63" s="10">
        <v>43428</v>
      </c>
      <c r="P63" s="11" t="str">
        <f>"000156"</f>
        <v>000156</v>
      </c>
      <c r="Q63" s="10">
        <v>43433</v>
      </c>
      <c r="R63" s="11">
        <v>16</v>
      </c>
      <c r="S63" s="11" t="str">
        <f>"008603"</f>
        <v>008603</v>
      </c>
      <c r="T63" s="10">
        <v>43470</v>
      </c>
      <c r="U63" s="14">
        <v>26.13982</v>
      </c>
      <c r="V63" s="14">
        <v>0.87046000000000001</v>
      </c>
      <c r="W63" s="14">
        <v>25.269359999999999</v>
      </c>
      <c r="X63" s="11">
        <v>233</v>
      </c>
      <c r="Y63" s="10">
        <v>43385</v>
      </c>
      <c r="Z63" s="11">
        <v>9845736688</v>
      </c>
      <c r="AA63" s="12" t="s">
        <v>69</v>
      </c>
      <c r="AB63" s="11" t="s">
        <v>40</v>
      </c>
      <c r="AC63" s="12" t="s">
        <v>41</v>
      </c>
      <c r="AD63" s="11" t="s">
        <v>42</v>
      </c>
      <c r="AE63" s="12" t="s">
        <v>43</v>
      </c>
      <c r="AF63" s="14">
        <f t="shared" si="0"/>
        <v>0.26139820000000002</v>
      </c>
      <c r="AG63" s="11" t="s">
        <v>132</v>
      </c>
    </row>
    <row r="64" spans="1:33" x14ac:dyDescent="0.2">
      <c r="A64" s="8">
        <v>5910</v>
      </c>
      <c r="B64" s="9" t="s">
        <v>203</v>
      </c>
      <c r="C64" s="10">
        <v>43385</v>
      </c>
      <c r="D64" s="11">
        <v>7</v>
      </c>
      <c r="E64" s="12" t="s">
        <v>34</v>
      </c>
      <c r="F64" s="12" t="s">
        <v>34</v>
      </c>
      <c r="G64" s="12" t="s">
        <v>34</v>
      </c>
      <c r="H64" s="12" t="s">
        <v>35</v>
      </c>
      <c r="I64" s="11" t="s">
        <v>36</v>
      </c>
      <c r="J64" s="12" t="s">
        <v>37</v>
      </c>
      <c r="K64" s="13" t="s">
        <v>38</v>
      </c>
      <c r="L64" s="11" t="str">
        <f>"000259"</f>
        <v>000259</v>
      </c>
      <c r="M64" s="10">
        <v>42825</v>
      </c>
      <c r="N64" s="11" t="str">
        <f>"000038"</f>
        <v>000038</v>
      </c>
      <c r="O64" s="10">
        <v>43150</v>
      </c>
      <c r="P64" s="11" t="str">
        <f>"000114"</f>
        <v>000114</v>
      </c>
      <c r="Q64" s="10">
        <v>43152</v>
      </c>
      <c r="R64" s="11">
        <v>16</v>
      </c>
      <c r="S64" s="11" t="str">
        <f>"000002"</f>
        <v>000002</v>
      </c>
      <c r="T64" s="10">
        <v>43191</v>
      </c>
      <c r="U64" s="14">
        <v>213.40341000000001</v>
      </c>
      <c r="V64" s="14">
        <v>6.6154999999999999</v>
      </c>
      <c r="W64" s="14">
        <v>206.78791000000001</v>
      </c>
      <c r="X64" s="11">
        <v>234</v>
      </c>
      <c r="Y64" s="10">
        <v>43385</v>
      </c>
      <c r="Z64" s="11">
        <v>0</v>
      </c>
      <c r="AA64" s="12" t="s">
        <v>65</v>
      </c>
      <c r="AB64" s="11" t="s">
        <v>40</v>
      </c>
      <c r="AC64" s="12" t="s">
        <v>41</v>
      </c>
      <c r="AD64" s="11" t="s">
        <v>42</v>
      </c>
      <c r="AE64" s="12" t="s">
        <v>43</v>
      </c>
      <c r="AF64" s="14">
        <f t="shared" si="0"/>
        <v>2.1340341</v>
      </c>
      <c r="AG64" s="11" t="s">
        <v>44</v>
      </c>
    </row>
    <row r="65" spans="1:33" x14ac:dyDescent="0.2">
      <c r="A65" s="8">
        <v>6475</v>
      </c>
      <c r="B65" s="9" t="s">
        <v>203</v>
      </c>
      <c r="C65" s="10">
        <v>43389</v>
      </c>
      <c r="D65" s="11">
        <v>7</v>
      </c>
      <c r="E65" s="12" t="s">
        <v>34</v>
      </c>
      <c r="F65" s="12" t="s">
        <v>34</v>
      </c>
      <c r="G65" s="12" t="s">
        <v>34</v>
      </c>
      <c r="H65" s="12" t="s">
        <v>35</v>
      </c>
      <c r="I65" s="11" t="s">
        <v>222</v>
      </c>
      <c r="J65" s="12" t="s">
        <v>223</v>
      </c>
      <c r="K65" s="13" t="s">
        <v>60</v>
      </c>
      <c r="L65" s="11" t="str">
        <f>"000272"</f>
        <v>000272</v>
      </c>
      <c r="M65" s="10">
        <v>42037</v>
      </c>
      <c r="N65" s="11" t="str">
        <f>"000023"</f>
        <v>000023</v>
      </c>
      <c r="O65" s="10">
        <v>43076</v>
      </c>
      <c r="P65" s="11" t="str">
        <f>"000059"</f>
        <v>000059</v>
      </c>
      <c r="Q65" s="10">
        <v>43082</v>
      </c>
      <c r="R65" s="11">
        <v>15</v>
      </c>
      <c r="S65" s="11" t="str">
        <f>"006647"</f>
        <v>006647</v>
      </c>
      <c r="T65" s="10">
        <v>43385</v>
      </c>
      <c r="U65" s="14">
        <v>3.9834999999999998</v>
      </c>
      <c r="V65" s="14">
        <v>0.25953999999999999</v>
      </c>
      <c r="W65" s="14">
        <v>3.7239599999999999</v>
      </c>
      <c r="X65" s="11">
        <v>241</v>
      </c>
      <c r="Y65" s="10">
        <v>43389</v>
      </c>
      <c r="Z65" s="11">
        <v>9740187609</v>
      </c>
      <c r="AA65" s="12" t="s">
        <v>224</v>
      </c>
      <c r="AB65" s="11" t="s">
        <v>94</v>
      </c>
      <c r="AC65" s="12" t="s">
        <v>95</v>
      </c>
      <c r="AD65" s="11" t="s">
        <v>42</v>
      </c>
      <c r="AE65" s="12" t="s">
        <v>43</v>
      </c>
      <c r="AF65" s="14">
        <f t="shared" si="0"/>
        <v>3.9834999999999995E-2</v>
      </c>
      <c r="AG65" s="11" t="s">
        <v>44</v>
      </c>
    </row>
    <row r="66" spans="1:33" x14ac:dyDescent="0.2">
      <c r="A66" s="8">
        <v>7366</v>
      </c>
      <c r="B66" s="9" t="s">
        <v>225</v>
      </c>
      <c r="C66" s="10">
        <v>43427</v>
      </c>
      <c r="D66" s="11">
        <v>7</v>
      </c>
      <c r="E66" s="12" t="s">
        <v>34</v>
      </c>
      <c r="F66" s="12" t="s">
        <v>34</v>
      </c>
      <c r="G66" s="12" t="s">
        <v>34</v>
      </c>
      <c r="H66" s="12" t="s">
        <v>35</v>
      </c>
      <c r="I66" s="11" t="s">
        <v>226</v>
      </c>
      <c r="J66" s="12" t="s">
        <v>227</v>
      </c>
      <c r="K66" s="13" t="s">
        <v>92</v>
      </c>
      <c r="L66" s="11" t="str">
        <f>"000079"</f>
        <v>000079</v>
      </c>
      <c r="M66" s="10">
        <v>43161</v>
      </c>
      <c r="N66" s="11" t="str">
        <f>"000041"</f>
        <v>000041</v>
      </c>
      <c r="O66" s="10">
        <v>43370</v>
      </c>
      <c r="P66" s="11" t="str">
        <f>"000114"</f>
        <v>000114</v>
      </c>
      <c r="Q66" s="10">
        <v>43371</v>
      </c>
      <c r="R66" s="11">
        <v>17</v>
      </c>
      <c r="S66" s="11" t="str">
        <f>"007494"</f>
        <v>007494</v>
      </c>
      <c r="T66" s="10">
        <v>43426</v>
      </c>
      <c r="U66" s="14">
        <v>22.708960000000001</v>
      </c>
      <c r="V66" s="14">
        <v>2.07531</v>
      </c>
      <c r="W66" s="14">
        <v>20.633649999999999</v>
      </c>
      <c r="X66" s="11">
        <v>272</v>
      </c>
      <c r="Y66" s="10">
        <v>43427</v>
      </c>
      <c r="Z66" s="11">
        <v>9449863065</v>
      </c>
      <c r="AA66" s="12" t="s">
        <v>55</v>
      </c>
      <c r="AB66" s="11" t="s">
        <v>62</v>
      </c>
      <c r="AC66" s="12" t="s">
        <v>63</v>
      </c>
      <c r="AD66" s="11" t="s">
        <v>42</v>
      </c>
      <c r="AE66" s="12" t="s">
        <v>43</v>
      </c>
      <c r="AF66" s="14">
        <f t="shared" si="0"/>
        <v>0.2270896</v>
      </c>
      <c r="AG66" s="11" t="s">
        <v>132</v>
      </c>
    </row>
    <row r="67" spans="1:33" x14ac:dyDescent="0.2">
      <c r="A67" s="8">
        <v>7622</v>
      </c>
      <c r="B67" s="9" t="s">
        <v>228</v>
      </c>
      <c r="C67" s="10">
        <v>43438</v>
      </c>
      <c r="D67" s="11">
        <v>7</v>
      </c>
      <c r="E67" s="12" t="s">
        <v>34</v>
      </c>
      <c r="F67" s="12" t="s">
        <v>34</v>
      </c>
      <c r="G67" s="12" t="s">
        <v>34</v>
      </c>
      <c r="H67" s="12" t="s">
        <v>35</v>
      </c>
      <c r="I67" s="11" t="s">
        <v>229</v>
      </c>
      <c r="J67" s="12" t="s">
        <v>230</v>
      </c>
      <c r="K67" s="13" t="s">
        <v>68</v>
      </c>
      <c r="L67" s="11" t="str">
        <f>"000088"</f>
        <v>000088</v>
      </c>
      <c r="M67" s="10">
        <v>43162</v>
      </c>
      <c r="N67" s="11" t="str">
        <f>"000013"</f>
        <v>000013</v>
      </c>
      <c r="O67" s="10">
        <v>43293</v>
      </c>
      <c r="P67" s="11" t="str">
        <f>"000049"</f>
        <v>000049</v>
      </c>
      <c r="Q67" s="10">
        <v>43299</v>
      </c>
      <c r="R67" s="11">
        <v>17</v>
      </c>
      <c r="S67" s="11" t="str">
        <f>"007653"</f>
        <v>007653</v>
      </c>
      <c r="T67" s="10">
        <v>43434</v>
      </c>
      <c r="U67" s="14">
        <v>43.552379999999999</v>
      </c>
      <c r="V67" s="14">
        <v>18.552379999999999</v>
      </c>
      <c r="W67" s="14">
        <v>25</v>
      </c>
      <c r="X67" s="11">
        <v>284</v>
      </c>
      <c r="Y67" s="10">
        <v>43438</v>
      </c>
      <c r="Z67" s="11">
        <v>9845626122</v>
      </c>
      <c r="AA67" s="12" t="s">
        <v>141</v>
      </c>
      <c r="AB67" s="11" t="s">
        <v>231</v>
      </c>
      <c r="AC67" s="12" t="s">
        <v>232</v>
      </c>
      <c r="AD67" s="11" t="s">
        <v>42</v>
      </c>
      <c r="AE67" s="12" t="s">
        <v>43</v>
      </c>
      <c r="AF67" s="14">
        <f t="shared" si="0"/>
        <v>0.43552380000000002</v>
      </c>
      <c r="AG67" s="11" t="s">
        <v>132</v>
      </c>
    </row>
    <row r="68" spans="1:33" x14ac:dyDescent="0.2">
      <c r="A68" s="8">
        <v>7623</v>
      </c>
      <c r="B68" s="9" t="s">
        <v>228</v>
      </c>
      <c r="C68" s="10">
        <v>43438</v>
      </c>
      <c r="D68" s="11">
        <v>7</v>
      </c>
      <c r="E68" s="12" t="s">
        <v>34</v>
      </c>
      <c r="F68" s="12" t="s">
        <v>34</v>
      </c>
      <c r="G68" s="12" t="s">
        <v>34</v>
      </c>
      <c r="H68" s="12" t="s">
        <v>35</v>
      </c>
      <c r="I68" s="11" t="s">
        <v>233</v>
      </c>
      <c r="J68" s="12" t="s">
        <v>234</v>
      </c>
      <c r="K68" s="13" t="s">
        <v>68</v>
      </c>
      <c r="L68" s="11" t="str">
        <f>"000088"</f>
        <v>000088</v>
      </c>
      <c r="M68" s="10">
        <v>42585</v>
      </c>
      <c r="N68" s="11" t="str">
        <f>"000012"</f>
        <v>000012</v>
      </c>
      <c r="O68" s="10">
        <v>43293</v>
      </c>
      <c r="P68" s="11" t="str">
        <f>"000046"</f>
        <v>000046</v>
      </c>
      <c r="Q68" s="10">
        <v>43294</v>
      </c>
      <c r="R68" s="11">
        <v>16</v>
      </c>
      <c r="S68" s="11" t="str">
        <f>"007660"</f>
        <v>007660</v>
      </c>
      <c r="T68" s="10">
        <v>43437</v>
      </c>
      <c r="U68" s="14">
        <v>37.138579999999997</v>
      </c>
      <c r="V68" s="14">
        <v>12.138579999999999</v>
      </c>
      <c r="W68" s="14">
        <v>25</v>
      </c>
      <c r="X68" s="11">
        <v>284</v>
      </c>
      <c r="Y68" s="10">
        <v>43438</v>
      </c>
      <c r="Z68" s="11">
        <v>9035637741</v>
      </c>
      <c r="AA68" s="12" t="s">
        <v>235</v>
      </c>
      <c r="AB68" s="11" t="s">
        <v>47</v>
      </c>
      <c r="AC68" s="12" t="s">
        <v>48</v>
      </c>
      <c r="AD68" s="11" t="s">
        <v>42</v>
      </c>
      <c r="AE68" s="12" t="s">
        <v>43</v>
      </c>
      <c r="AF68" s="14">
        <f t="shared" si="0"/>
        <v>0.37138579999999999</v>
      </c>
      <c r="AG68" s="11" t="s">
        <v>132</v>
      </c>
    </row>
    <row r="69" spans="1:33" x14ac:dyDescent="0.2">
      <c r="A69" s="8">
        <v>8079</v>
      </c>
      <c r="B69" s="9" t="s">
        <v>228</v>
      </c>
      <c r="C69" s="10">
        <v>43461</v>
      </c>
      <c r="D69" s="11">
        <v>7</v>
      </c>
      <c r="E69" s="12" t="s">
        <v>34</v>
      </c>
      <c r="F69" s="12" t="s">
        <v>34</v>
      </c>
      <c r="G69" s="12" t="s">
        <v>34</v>
      </c>
      <c r="H69" s="12" t="s">
        <v>35</v>
      </c>
      <c r="I69" s="11" t="s">
        <v>204</v>
      </c>
      <c r="J69" s="12" t="s">
        <v>205</v>
      </c>
      <c r="K69" s="13" t="s">
        <v>38</v>
      </c>
      <c r="L69" s="11" t="str">
        <f>"000070"</f>
        <v>000070</v>
      </c>
      <c r="M69" s="10">
        <v>43307</v>
      </c>
      <c r="N69" s="11" t="str">
        <f>"000048"</f>
        <v>000048</v>
      </c>
      <c r="O69" s="10">
        <v>43433</v>
      </c>
      <c r="P69" s="11" t="str">
        <f>"000155"</f>
        <v>000155</v>
      </c>
      <c r="Q69" s="10">
        <v>43433</v>
      </c>
      <c r="R69" s="11">
        <v>18</v>
      </c>
      <c r="S69" s="11" t="str">
        <f>"008237"</f>
        <v>008237</v>
      </c>
      <c r="T69" s="10">
        <v>43456</v>
      </c>
      <c r="U69" s="14">
        <v>129.94869</v>
      </c>
      <c r="V69" s="14">
        <v>5.0494300000000001</v>
      </c>
      <c r="W69" s="14">
        <v>124.89926</v>
      </c>
      <c r="X69" s="11">
        <v>305</v>
      </c>
      <c r="Y69" s="10">
        <v>43461</v>
      </c>
      <c r="Z69" s="11">
        <v>9886213563</v>
      </c>
      <c r="AA69" s="12" t="s">
        <v>206</v>
      </c>
      <c r="AB69" s="11" t="s">
        <v>207</v>
      </c>
      <c r="AC69" s="12" t="s">
        <v>208</v>
      </c>
      <c r="AD69" s="11" t="s">
        <v>42</v>
      </c>
      <c r="AE69" s="12" t="s">
        <v>43</v>
      </c>
      <c r="AF69" s="14">
        <f t="shared" si="0"/>
        <v>1.2994869</v>
      </c>
      <c r="AG69" s="11" t="s">
        <v>175</v>
      </c>
    </row>
    <row r="70" spans="1:33" x14ac:dyDescent="0.2">
      <c r="A70" s="8">
        <v>8092</v>
      </c>
      <c r="B70" s="9" t="s">
        <v>228</v>
      </c>
      <c r="C70" s="10">
        <v>43462</v>
      </c>
      <c r="D70" s="11">
        <v>7</v>
      </c>
      <c r="E70" s="12" t="s">
        <v>34</v>
      </c>
      <c r="F70" s="12" t="s">
        <v>34</v>
      </c>
      <c r="G70" s="12" t="s">
        <v>34</v>
      </c>
      <c r="H70" s="12" t="s">
        <v>35</v>
      </c>
      <c r="I70" s="11" t="s">
        <v>236</v>
      </c>
      <c r="J70" s="12" t="s">
        <v>237</v>
      </c>
      <c r="K70" s="13" t="s">
        <v>238</v>
      </c>
      <c r="L70" s="11" t="str">
        <f>"000025"</f>
        <v>000025</v>
      </c>
      <c r="M70" s="10">
        <v>43089</v>
      </c>
      <c r="N70" s="11" t="str">
        <f>"000046"</f>
        <v>000046</v>
      </c>
      <c r="O70" s="10">
        <v>43172</v>
      </c>
      <c r="P70" s="11" t="str">
        <f>"000143"</f>
        <v>000143</v>
      </c>
      <c r="Q70" s="10">
        <v>43181</v>
      </c>
      <c r="R70" s="11">
        <v>17</v>
      </c>
      <c r="S70" s="11" t="str">
        <f>"008171"</f>
        <v>008171</v>
      </c>
      <c r="T70" s="10">
        <v>43455</v>
      </c>
      <c r="U70" s="14">
        <v>26.653269999999999</v>
      </c>
      <c r="V70" s="14">
        <v>0.75678000000000001</v>
      </c>
      <c r="W70" s="14">
        <v>25.89649</v>
      </c>
      <c r="X70" s="11">
        <v>306</v>
      </c>
      <c r="Y70" s="10">
        <v>43462</v>
      </c>
      <c r="Z70" s="11">
        <v>9900088235</v>
      </c>
      <c r="AA70" s="12" t="s">
        <v>239</v>
      </c>
      <c r="AB70" s="11" t="s">
        <v>231</v>
      </c>
      <c r="AC70" s="12" t="s">
        <v>232</v>
      </c>
      <c r="AD70" s="11" t="s">
        <v>42</v>
      </c>
      <c r="AE70" s="12" t="s">
        <v>43</v>
      </c>
      <c r="AF70" s="14">
        <f t="shared" si="0"/>
        <v>0.26653270000000001</v>
      </c>
      <c r="AG70" s="11" t="s">
        <v>44</v>
      </c>
    </row>
    <row r="71" spans="1:33" x14ac:dyDescent="0.2">
      <c r="A71" s="8">
        <v>8476</v>
      </c>
      <c r="B71" s="9" t="s">
        <v>240</v>
      </c>
      <c r="C71" s="10">
        <v>43472</v>
      </c>
      <c r="D71" s="11">
        <v>7</v>
      </c>
      <c r="E71" s="12" t="s">
        <v>34</v>
      </c>
      <c r="F71" s="12" t="s">
        <v>34</v>
      </c>
      <c r="G71" s="12" t="s">
        <v>34</v>
      </c>
      <c r="H71" s="12" t="s">
        <v>35</v>
      </c>
      <c r="I71" s="11" t="s">
        <v>66</v>
      </c>
      <c r="J71" s="12" t="s">
        <v>241</v>
      </c>
      <c r="K71" s="13" t="s">
        <v>68</v>
      </c>
      <c r="L71" s="11" t="str">
        <f>"000262"</f>
        <v>000262</v>
      </c>
      <c r="M71" s="10">
        <v>42825</v>
      </c>
      <c r="N71" s="11" t="str">
        <f>"000065"</f>
        <v>000065</v>
      </c>
      <c r="O71" s="10">
        <v>43490</v>
      </c>
      <c r="P71" s="11" t="str">
        <f>"000200"</f>
        <v>000200</v>
      </c>
      <c r="Q71" s="10">
        <v>43495</v>
      </c>
      <c r="R71" s="11"/>
      <c r="S71" s="11" t="str">
        <f>""</f>
        <v/>
      </c>
      <c r="T71" s="10"/>
      <c r="U71" s="14">
        <v>191.71154999999999</v>
      </c>
      <c r="V71" s="14">
        <v>9.3856599999999997</v>
      </c>
      <c r="W71" s="14">
        <v>182.32588999999999</v>
      </c>
      <c r="X71" s="11">
        <v>317</v>
      </c>
      <c r="Y71" s="10">
        <v>43472</v>
      </c>
      <c r="Z71" s="11">
        <v>9845736688</v>
      </c>
      <c r="AA71" s="12" t="s">
        <v>69</v>
      </c>
      <c r="AB71" s="11" t="s">
        <v>40</v>
      </c>
      <c r="AC71" s="12" t="s">
        <v>41</v>
      </c>
      <c r="AD71" s="11" t="s">
        <v>42</v>
      </c>
      <c r="AE71" s="12" t="s">
        <v>43</v>
      </c>
      <c r="AF71" s="14">
        <f t="shared" si="0"/>
        <v>1.9171155</v>
      </c>
      <c r="AG71" s="11" t="s">
        <v>132</v>
      </c>
    </row>
    <row r="72" spans="1:33" x14ac:dyDescent="0.2">
      <c r="A72" s="8">
        <v>8587</v>
      </c>
      <c r="B72" s="9" t="s">
        <v>240</v>
      </c>
      <c r="C72" s="10">
        <v>43481</v>
      </c>
      <c r="D72" s="11">
        <v>7</v>
      </c>
      <c r="E72" s="12" t="s">
        <v>34</v>
      </c>
      <c r="F72" s="12" t="s">
        <v>34</v>
      </c>
      <c r="G72" s="12" t="s">
        <v>34</v>
      </c>
      <c r="H72" s="12" t="s">
        <v>35</v>
      </c>
      <c r="I72" s="11" t="s">
        <v>242</v>
      </c>
      <c r="J72" s="12" t="s">
        <v>243</v>
      </c>
      <c r="K72" s="13" t="s">
        <v>60</v>
      </c>
      <c r="L72" s="11" t="str">
        <f>"00152 "</f>
        <v xml:space="preserve">00152 </v>
      </c>
      <c r="M72" s="10">
        <v>42699</v>
      </c>
      <c r="N72" s="11" t="str">
        <f>"000036"</f>
        <v>000036</v>
      </c>
      <c r="O72" s="10">
        <v>43370</v>
      </c>
      <c r="P72" s="11" t="str">
        <f>"000115"</f>
        <v>000115</v>
      </c>
      <c r="Q72" s="10">
        <v>43371</v>
      </c>
      <c r="R72" s="11"/>
      <c r="S72" s="11" t="str">
        <f>""</f>
        <v/>
      </c>
      <c r="T72" s="10"/>
      <c r="U72" s="14">
        <v>12.041969999999999</v>
      </c>
      <c r="V72" s="14">
        <v>1.21624</v>
      </c>
      <c r="W72" s="14">
        <v>10.82573</v>
      </c>
      <c r="X72" s="11">
        <v>324</v>
      </c>
      <c r="Y72" s="10">
        <v>43481</v>
      </c>
      <c r="Z72" s="11">
        <v>9900333496</v>
      </c>
      <c r="AA72" s="12" t="s">
        <v>244</v>
      </c>
      <c r="AB72" s="11" t="s">
        <v>62</v>
      </c>
      <c r="AC72" s="12" t="s">
        <v>63</v>
      </c>
      <c r="AD72" s="11" t="s">
        <v>42</v>
      </c>
      <c r="AE72" s="12" t="s">
        <v>43</v>
      </c>
      <c r="AF72" s="14">
        <f t="shared" si="0"/>
        <v>0.12041969999999999</v>
      </c>
      <c r="AG72" s="11" t="s">
        <v>132</v>
      </c>
    </row>
    <row r="73" spans="1:33" x14ac:dyDescent="0.2">
      <c r="A73" s="8">
        <v>8880</v>
      </c>
      <c r="B73" s="9" t="s">
        <v>245</v>
      </c>
      <c r="C73" s="10">
        <v>43497</v>
      </c>
      <c r="D73" s="11">
        <v>7</v>
      </c>
      <c r="E73" s="12" t="s">
        <v>34</v>
      </c>
      <c r="F73" s="12" t="s">
        <v>34</v>
      </c>
      <c r="G73" s="12" t="s">
        <v>34</v>
      </c>
      <c r="H73" s="12" t="s">
        <v>35</v>
      </c>
      <c r="I73" s="11" t="s">
        <v>246</v>
      </c>
      <c r="J73" s="12" t="s">
        <v>247</v>
      </c>
      <c r="K73" s="13" t="s">
        <v>92</v>
      </c>
      <c r="L73" s="11" t="str">
        <f>"000166"</f>
        <v>000166</v>
      </c>
      <c r="M73" s="10">
        <v>42737</v>
      </c>
      <c r="N73" s="11" t="str">
        <f>"000034"</f>
        <v>000034</v>
      </c>
      <c r="O73" s="10">
        <v>43136</v>
      </c>
      <c r="P73" s="11" t="str">
        <f>"000105"</f>
        <v>000105</v>
      </c>
      <c r="Q73" s="10">
        <v>43150</v>
      </c>
      <c r="R73" s="11"/>
      <c r="S73" s="11" t="str">
        <f>"008628"</f>
        <v>008628</v>
      </c>
      <c r="T73" s="10">
        <v>43472</v>
      </c>
      <c r="U73" s="14">
        <v>4.3602600000000002</v>
      </c>
      <c r="V73" s="14">
        <v>0.15315999999999999</v>
      </c>
      <c r="W73" s="14">
        <v>4.2070999999999996</v>
      </c>
      <c r="X73" s="11">
        <v>336</v>
      </c>
      <c r="Y73" s="10">
        <v>43497</v>
      </c>
      <c r="Z73" s="11">
        <v>9900080559</v>
      </c>
      <c r="AA73" s="12" t="s">
        <v>248</v>
      </c>
      <c r="AB73" s="11" t="s">
        <v>94</v>
      </c>
      <c r="AC73" s="12" t="s">
        <v>95</v>
      </c>
      <c r="AD73" s="11" t="s">
        <v>42</v>
      </c>
      <c r="AE73" s="12" t="s">
        <v>43</v>
      </c>
      <c r="AF73" s="14">
        <f t="shared" si="0"/>
        <v>4.3602600000000005E-2</v>
      </c>
      <c r="AG73" s="11" t="s">
        <v>44</v>
      </c>
    </row>
    <row r="74" spans="1:33" x14ac:dyDescent="0.2">
      <c r="A74" s="8">
        <v>8881</v>
      </c>
      <c r="B74" s="9" t="s">
        <v>245</v>
      </c>
      <c r="C74" s="10">
        <v>43497</v>
      </c>
      <c r="D74" s="11">
        <v>7</v>
      </c>
      <c r="E74" s="12" t="s">
        <v>34</v>
      </c>
      <c r="F74" s="12" t="s">
        <v>34</v>
      </c>
      <c r="G74" s="12" t="s">
        <v>34</v>
      </c>
      <c r="H74" s="12" t="s">
        <v>35</v>
      </c>
      <c r="I74" s="11" t="s">
        <v>249</v>
      </c>
      <c r="J74" s="12" t="s">
        <v>250</v>
      </c>
      <c r="K74" s="13" t="s">
        <v>92</v>
      </c>
      <c r="L74" s="11" t="str">
        <f>"000167"</f>
        <v>000167</v>
      </c>
      <c r="M74" s="10">
        <v>42737</v>
      </c>
      <c r="N74" s="11" t="str">
        <f>"000035"</f>
        <v>000035</v>
      </c>
      <c r="O74" s="10">
        <v>43136</v>
      </c>
      <c r="P74" s="11" t="str">
        <f>"000106"</f>
        <v>000106</v>
      </c>
      <c r="Q74" s="10">
        <v>43150</v>
      </c>
      <c r="R74" s="11"/>
      <c r="S74" s="11" t="str">
        <f>"008629"</f>
        <v>008629</v>
      </c>
      <c r="T74" s="10">
        <v>43472</v>
      </c>
      <c r="U74" s="14">
        <v>4.5756699999999997</v>
      </c>
      <c r="V74" s="14">
        <v>0.158</v>
      </c>
      <c r="W74" s="14">
        <v>4.4176700000000002</v>
      </c>
      <c r="X74" s="11">
        <v>336</v>
      </c>
      <c r="Y74" s="10">
        <v>43497</v>
      </c>
      <c r="Z74" s="11">
        <v>9900080559</v>
      </c>
      <c r="AA74" s="12" t="s">
        <v>248</v>
      </c>
      <c r="AB74" s="11" t="s">
        <v>94</v>
      </c>
      <c r="AC74" s="12" t="s">
        <v>95</v>
      </c>
      <c r="AD74" s="11" t="s">
        <v>42</v>
      </c>
      <c r="AE74" s="12" t="s">
        <v>43</v>
      </c>
      <c r="AF74" s="14">
        <f t="shared" si="0"/>
        <v>4.5756699999999997E-2</v>
      </c>
      <c r="AG74" s="11" t="s">
        <v>44</v>
      </c>
    </row>
    <row r="75" spans="1:33" x14ac:dyDescent="0.2">
      <c r="A75" s="8">
        <v>8977</v>
      </c>
      <c r="B75" s="9" t="s">
        <v>245</v>
      </c>
      <c r="C75" s="10">
        <v>43502</v>
      </c>
      <c r="D75" s="11">
        <v>7</v>
      </c>
      <c r="E75" s="12" t="s">
        <v>34</v>
      </c>
      <c r="F75" s="12" t="s">
        <v>34</v>
      </c>
      <c r="G75" s="12" t="s">
        <v>34</v>
      </c>
      <c r="H75" s="12" t="s">
        <v>35</v>
      </c>
      <c r="I75" s="11" t="s">
        <v>251</v>
      </c>
      <c r="J75" s="12" t="s">
        <v>252</v>
      </c>
      <c r="K75" s="13" t="s">
        <v>38</v>
      </c>
      <c r="L75" s="11" t="str">
        <f>"000019"</f>
        <v>000019</v>
      </c>
      <c r="M75" s="10">
        <v>43486</v>
      </c>
      <c r="N75" s="11" t="str">
        <f>"000154"</f>
        <v>000154</v>
      </c>
      <c r="O75" s="10">
        <v>43495</v>
      </c>
      <c r="P75" s="11" t="str">
        <f>"000153"</f>
        <v>000153</v>
      </c>
      <c r="Q75" s="10">
        <v>43495</v>
      </c>
      <c r="R75" s="11"/>
      <c r="S75" s="11" t="str">
        <f>"009076"</f>
        <v>009076</v>
      </c>
      <c r="T75" s="10">
        <v>43502</v>
      </c>
      <c r="U75" s="14">
        <v>214.87860000000001</v>
      </c>
      <c r="V75" s="14">
        <v>9.6152499999999996</v>
      </c>
      <c r="W75" s="14">
        <v>205.26335</v>
      </c>
      <c r="X75" s="11">
        <v>340</v>
      </c>
      <c r="Y75" s="10">
        <v>43502</v>
      </c>
      <c r="Z75" s="11">
        <v>9845171912</v>
      </c>
      <c r="AA75" s="12" t="s">
        <v>253</v>
      </c>
      <c r="AB75" s="11" t="s">
        <v>254</v>
      </c>
      <c r="AC75" s="12" t="s">
        <v>255</v>
      </c>
      <c r="AD75" s="11" t="s">
        <v>256</v>
      </c>
      <c r="AE75" s="12" t="s">
        <v>257</v>
      </c>
      <c r="AF75" s="14">
        <f t="shared" si="0"/>
        <v>2.1487859999999999</v>
      </c>
      <c r="AG75" s="11" t="s">
        <v>175</v>
      </c>
    </row>
    <row r="76" spans="1:33" x14ac:dyDescent="0.2">
      <c r="A76" s="8">
        <v>9005</v>
      </c>
      <c r="B76" s="9" t="s">
        <v>245</v>
      </c>
      <c r="C76" s="10">
        <v>43503</v>
      </c>
      <c r="D76" s="11">
        <v>7</v>
      </c>
      <c r="E76" s="12" t="s">
        <v>34</v>
      </c>
      <c r="F76" s="12" t="s">
        <v>34</v>
      </c>
      <c r="G76" s="12" t="s">
        <v>34</v>
      </c>
      <c r="H76" s="12" t="s">
        <v>35</v>
      </c>
      <c r="I76" s="11" t="s">
        <v>45</v>
      </c>
      <c r="J76" s="12" t="s">
        <v>46</v>
      </c>
      <c r="K76" s="13" t="s">
        <v>38</v>
      </c>
      <c r="L76" s="11" t="str">
        <f>"000256"</f>
        <v>000256</v>
      </c>
      <c r="M76" s="10">
        <v>42825</v>
      </c>
      <c r="N76" s="11" t="str">
        <f>"000062"</f>
        <v>000062</v>
      </c>
      <c r="O76" s="10">
        <v>43488</v>
      </c>
      <c r="P76" s="11" t="str">
        <f>"000195"</f>
        <v>000195</v>
      </c>
      <c r="Q76" s="10">
        <v>43488</v>
      </c>
      <c r="R76" s="11"/>
      <c r="S76" s="11" t="str">
        <f>"009099"</f>
        <v>009099</v>
      </c>
      <c r="T76" s="10">
        <v>43502</v>
      </c>
      <c r="U76" s="14">
        <v>79.543170000000003</v>
      </c>
      <c r="V76" s="14">
        <v>4.84077</v>
      </c>
      <c r="W76" s="14">
        <v>74.702399999999997</v>
      </c>
      <c r="X76" s="11">
        <v>344</v>
      </c>
      <c r="Y76" s="10">
        <v>43503</v>
      </c>
      <c r="Z76" s="11">
        <v>0</v>
      </c>
      <c r="AA76" s="12" t="s">
        <v>51</v>
      </c>
      <c r="AB76" s="11" t="s">
        <v>47</v>
      </c>
      <c r="AC76" s="12" t="s">
        <v>48</v>
      </c>
      <c r="AD76" s="11" t="s">
        <v>42</v>
      </c>
      <c r="AE76" s="12" t="s">
        <v>43</v>
      </c>
      <c r="AF76" s="14">
        <f t="shared" si="0"/>
        <v>0.79543170000000007</v>
      </c>
      <c r="AG76" s="11" t="s">
        <v>132</v>
      </c>
    </row>
    <row r="77" spans="1:33" x14ac:dyDescent="0.2">
      <c r="A77" s="8">
        <v>9011</v>
      </c>
      <c r="B77" s="9" t="s">
        <v>245</v>
      </c>
      <c r="C77" s="10">
        <v>43503</v>
      </c>
      <c r="D77" s="11">
        <v>7</v>
      </c>
      <c r="E77" s="12" t="s">
        <v>34</v>
      </c>
      <c r="F77" s="12" t="s">
        <v>34</v>
      </c>
      <c r="G77" s="12" t="s">
        <v>34</v>
      </c>
      <c r="H77" s="12" t="s">
        <v>35</v>
      </c>
      <c r="I77" s="11" t="s">
        <v>45</v>
      </c>
      <c r="J77" s="12" t="s">
        <v>46</v>
      </c>
      <c r="K77" s="13" t="s">
        <v>38</v>
      </c>
      <c r="L77" s="11" t="str">
        <f>"000256"</f>
        <v>000256</v>
      </c>
      <c r="M77" s="10">
        <v>42825</v>
      </c>
      <c r="N77" s="11" t="str">
        <f>"000062"</f>
        <v>000062</v>
      </c>
      <c r="O77" s="10">
        <v>43488</v>
      </c>
      <c r="P77" s="11" t="str">
        <f>"000195"</f>
        <v>000195</v>
      </c>
      <c r="Q77" s="10">
        <v>43488</v>
      </c>
      <c r="R77" s="11"/>
      <c r="S77" s="11" t="str">
        <f>"009099"</f>
        <v>009099</v>
      </c>
      <c r="T77" s="10">
        <v>43502</v>
      </c>
      <c r="U77" s="14">
        <v>3.7124999999999999</v>
      </c>
      <c r="V77" s="14">
        <v>0.37125000000000002</v>
      </c>
      <c r="W77" s="14">
        <v>3.3412500000000001</v>
      </c>
      <c r="X77" s="11">
        <v>344</v>
      </c>
      <c r="Y77" s="10">
        <v>43503</v>
      </c>
      <c r="Z77" s="11">
        <v>9611192254</v>
      </c>
      <c r="AA77" s="12" t="s">
        <v>39</v>
      </c>
      <c r="AB77" s="11" t="s">
        <v>47</v>
      </c>
      <c r="AC77" s="12" t="s">
        <v>48</v>
      </c>
      <c r="AD77" s="11" t="s">
        <v>42</v>
      </c>
      <c r="AE77" s="12" t="s">
        <v>43</v>
      </c>
      <c r="AF77" s="14">
        <f t="shared" si="0"/>
        <v>3.7124999999999998E-2</v>
      </c>
      <c r="AG77" s="11" t="s">
        <v>132</v>
      </c>
    </row>
    <row r="78" spans="1:33" x14ac:dyDescent="0.2">
      <c r="A78" s="8">
        <v>9019</v>
      </c>
      <c r="B78" s="9" t="s">
        <v>245</v>
      </c>
      <c r="C78" s="10">
        <v>43503</v>
      </c>
      <c r="D78" s="11">
        <v>7</v>
      </c>
      <c r="E78" s="12" t="s">
        <v>34</v>
      </c>
      <c r="F78" s="12" t="s">
        <v>34</v>
      </c>
      <c r="G78" s="12" t="s">
        <v>34</v>
      </c>
      <c r="H78" s="12" t="s">
        <v>35</v>
      </c>
      <c r="I78" s="11" t="s">
        <v>258</v>
      </c>
      <c r="J78" s="12" t="s">
        <v>259</v>
      </c>
      <c r="K78" s="13" t="s">
        <v>38</v>
      </c>
      <c r="L78" s="11" t="str">
        <f>"000114"</f>
        <v>000114</v>
      </c>
      <c r="M78" s="10">
        <v>43179</v>
      </c>
      <c r="N78" s="11" t="str">
        <f>"000064"</f>
        <v>000064</v>
      </c>
      <c r="O78" s="10">
        <v>43488</v>
      </c>
      <c r="P78" s="11" t="str">
        <f>"000193"</f>
        <v>000193</v>
      </c>
      <c r="Q78" s="10">
        <v>43488</v>
      </c>
      <c r="R78" s="11"/>
      <c r="S78" s="11" t="str">
        <f>"009107"</f>
        <v>009107</v>
      </c>
      <c r="T78" s="10">
        <v>43502</v>
      </c>
      <c r="U78" s="14">
        <v>7.47</v>
      </c>
      <c r="V78" s="14">
        <v>0.747</v>
      </c>
      <c r="W78" s="14">
        <v>6.7229999999999999</v>
      </c>
      <c r="X78" s="11">
        <v>344</v>
      </c>
      <c r="Y78" s="10">
        <v>43503</v>
      </c>
      <c r="Z78" s="11">
        <v>9611192254</v>
      </c>
      <c r="AA78" s="12" t="s">
        <v>39</v>
      </c>
      <c r="AB78" s="11" t="s">
        <v>260</v>
      </c>
      <c r="AC78" s="12" t="s">
        <v>261</v>
      </c>
      <c r="AD78" s="11" t="s">
        <v>42</v>
      </c>
      <c r="AE78" s="12" t="s">
        <v>43</v>
      </c>
      <c r="AF78" s="14">
        <f t="shared" si="0"/>
        <v>7.4700000000000003E-2</v>
      </c>
      <c r="AG78" s="11" t="s">
        <v>132</v>
      </c>
    </row>
    <row r="79" spans="1:33" x14ac:dyDescent="0.2">
      <c r="A79" s="8">
        <v>9242</v>
      </c>
      <c r="B79" s="9" t="s">
        <v>245</v>
      </c>
      <c r="C79" s="10">
        <v>43519</v>
      </c>
      <c r="D79" s="11">
        <v>7</v>
      </c>
      <c r="E79" s="12" t="s">
        <v>34</v>
      </c>
      <c r="F79" s="12" t="s">
        <v>34</v>
      </c>
      <c r="G79" s="12" t="s">
        <v>34</v>
      </c>
      <c r="H79" s="12" t="s">
        <v>35</v>
      </c>
      <c r="I79" s="11" t="s">
        <v>262</v>
      </c>
      <c r="J79" s="12" t="s">
        <v>263</v>
      </c>
      <c r="K79" s="13" t="s">
        <v>68</v>
      </c>
      <c r="L79" s="11" t="str">
        <f>"000159"</f>
        <v>000159</v>
      </c>
      <c r="M79" s="10">
        <v>43404</v>
      </c>
      <c r="N79" s="11" t="str">
        <f>"000074"</f>
        <v>000074</v>
      </c>
      <c r="O79" s="10">
        <v>43511</v>
      </c>
      <c r="P79" s="11" t="str">
        <f>"000219"</f>
        <v>000219</v>
      </c>
      <c r="Q79" s="10">
        <v>43511</v>
      </c>
      <c r="R79" s="11"/>
      <c r="S79" s="11" t="str">
        <f>"009369"</f>
        <v>009369</v>
      </c>
      <c r="T79" s="10">
        <v>43518</v>
      </c>
      <c r="U79" s="14">
        <v>127.23112</v>
      </c>
      <c r="V79" s="14">
        <v>6.1688200000000002</v>
      </c>
      <c r="W79" s="14">
        <v>121.06229999999999</v>
      </c>
      <c r="X79" s="11">
        <v>357</v>
      </c>
      <c r="Y79" s="10">
        <v>43519</v>
      </c>
      <c r="Z79" s="11">
        <v>9972555000</v>
      </c>
      <c r="AA79" s="12" t="s">
        <v>264</v>
      </c>
      <c r="AB79" s="11" t="s">
        <v>56</v>
      </c>
      <c r="AC79" s="12" t="s">
        <v>57</v>
      </c>
      <c r="AD79" s="11" t="s">
        <v>42</v>
      </c>
      <c r="AE79" s="12" t="s">
        <v>43</v>
      </c>
      <c r="AF79" s="14">
        <f t="shared" si="0"/>
        <v>1.2723112000000001</v>
      </c>
      <c r="AG79" s="11" t="s">
        <v>175</v>
      </c>
    </row>
    <row r="80" spans="1:33" x14ac:dyDescent="0.2">
      <c r="A80" s="8">
        <v>9398</v>
      </c>
      <c r="B80" s="9" t="s">
        <v>245</v>
      </c>
      <c r="C80" s="10">
        <v>43524</v>
      </c>
      <c r="D80" s="11">
        <v>7</v>
      </c>
      <c r="E80" s="12" t="s">
        <v>34</v>
      </c>
      <c r="F80" s="12" t="s">
        <v>34</v>
      </c>
      <c r="G80" s="12" t="s">
        <v>34</v>
      </c>
      <c r="H80" s="12" t="s">
        <v>35</v>
      </c>
      <c r="I80" s="11" t="s">
        <v>242</v>
      </c>
      <c r="J80" s="12" t="s">
        <v>243</v>
      </c>
      <c r="K80" s="13" t="s">
        <v>60</v>
      </c>
      <c r="L80" s="11" t="str">
        <f>"00152 "</f>
        <v xml:space="preserve">00152 </v>
      </c>
      <c r="M80" s="10">
        <v>42699</v>
      </c>
      <c r="N80" s="11" t="str">
        <f>"000036"</f>
        <v>000036</v>
      </c>
      <c r="O80" s="10">
        <v>43370</v>
      </c>
      <c r="P80" s="11" t="str">
        <f>"000115"</f>
        <v>000115</v>
      </c>
      <c r="Q80" s="10">
        <v>43371</v>
      </c>
      <c r="R80" s="11"/>
      <c r="S80" s="11" t="str">
        <f>"009453"</f>
        <v>009453</v>
      </c>
      <c r="T80" s="10">
        <v>43519</v>
      </c>
      <c r="U80" s="14">
        <v>12.70618</v>
      </c>
      <c r="V80" s="14">
        <v>1.1990499999999999</v>
      </c>
      <c r="W80" s="14">
        <v>11.50713</v>
      </c>
      <c r="X80" s="11">
        <v>362</v>
      </c>
      <c r="Y80" s="10">
        <v>43524</v>
      </c>
      <c r="Z80" s="11">
        <v>9449863065</v>
      </c>
      <c r="AA80" s="12" t="s">
        <v>55</v>
      </c>
      <c r="AB80" s="11" t="s">
        <v>62</v>
      </c>
      <c r="AC80" s="12" t="s">
        <v>63</v>
      </c>
      <c r="AD80" s="11" t="s">
        <v>42</v>
      </c>
      <c r="AE80" s="12" t="s">
        <v>43</v>
      </c>
      <c r="AF80" s="14">
        <f t="shared" si="0"/>
        <v>0.1270618</v>
      </c>
      <c r="AG80" s="11" t="s">
        <v>132</v>
      </c>
    </row>
    <row r="81" spans="1:33" x14ac:dyDescent="0.2">
      <c r="A81" s="8">
        <v>9475</v>
      </c>
      <c r="B81" s="9" t="s">
        <v>265</v>
      </c>
      <c r="C81" s="10">
        <v>43530</v>
      </c>
      <c r="D81" s="11">
        <v>7</v>
      </c>
      <c r="E81" s="12" t="s">
        <v>34</v>
      </c>
      <c r="F81" s="12" t="s">
        <v>34</v>
      </c>
      <c r="G81" s="12" t="s">
        <v>34</v>
      </c>
      <c r="H81" s="12" t="s">
        <v>35</v>
      </c>
      <c r="I81" s="11" t="s">
        <v>266</v>
      </c>
      <c r="J81" s="12" t="s">
        <v>267</v>
      </c>
      <c r="K81" s="13" t="s">
        <v>268</v>
      </c>
      <c r="L81" s="11" t="str">
        <f>"000105"</f>
        <v>000105</v>
      </c>
      <c r="M81" s="10">
        <v>43164</v>
      </c>
      <c r="N81" s="11" t="str">
        <f>"000056"</f>
        <v>000056</v>
      </c>
      <c r="O81" s="10">
        <v>43467</v>
      </c>
      <c r="P81" s="11" t="str">
        <f>"000188"</f>
        <v>000188</v>
      </c>
      <c r="Q81" s="10">
        <v>43484</v>
      </c>
      <c r="R81" s="11"/>
      <c r="S81" s="11" t="str">
        <f>"009509"</f>
        <v>009509</v>
      </c>
      <c r="T81" s="10">
        <v>43525</v>
      </c>
      <c r="U81" s="14">
        <v>9.9520499999999998</v>
      </c>
      <c r="V81" s="14">
        <v>1.02183</v>
      </c>
      <c r="W81" s="14">
        <v>8.9302200000000003</v>
      </c>
      <c r="X81" s="11">
        <v>368</v>
      </c>
      <c r="Y81" s="10">
        <v>43530</v>
      </c>
      <c r="Z81" s="11">
        <v>9449863065</v>
      </c>
      <c r="AA81" s="12" t="s">
        <v>141</v>
      </c>
      <c r="AB81" s="11" t="s">
        <v>62</v>
      </c>
      <c r="AC81" s="12" t="s">
        <v>63</v>
      </c>
      <c r="AD81" s="11" t="s">
        <v>42</v>
      </c>
      <c r="AE81" s="12" t="s">
        <v>43</v>
      </c>
      <c r="AF81" s="14">
        <f t="shared" si="0"/>
        <v>9.9520499999999998E-2</v>
      </c>
      <c r="AG81" s="11" t="s">
        <v>132</v>
      </c>
    </row>
    <row r="82" spans="1:33" x14ac:dyDescent="0.2">
      <c r="A82" s="8">
        <v>9476</v>
      </c>
      <c r="B82" s="9" t="s">
        <v>265</v>
      </c>
      <c r="C82" s="10">
        <v>43530</v>
      </c>
      <c r="D82" s="11">
        <v>7</v>
      </c>
      <c r="E82" s="12" t="s">
        <v>34</v>
      </c>
      <c r="F82" s="12" t="s">
        <v>34</v>
      </c>
      <c r="G82" s="12" t="s">
        <v>34</v>
      </c>
      <c r="H82" s="12" t="s">
        <v>35</v>
      </c>
      <c r="I82" s="11" t="s">
        <v>269</v>
      </c>
      <c r="J82" s="12" t="s">
        <v>270</v>
      </c>
      <c r="K82" s="13" t="s">
        <v>271</v>
      </c>
      <c r="L82" s="11" t="str">
        <f>"000106"</f>
        <v>000106</v>
      </c>
      <c r="M82" s="10">
        <v>43164</v>
      </c>
      <c r="N82" s="11" t="str">
        <f>"000057"</f>
        <v>000057</v>
      </c>
      <c r="O82" s="10">
        <v>43467</v>
      </c>
      <c r="P82" s="11" t="str">
        <f>"000190"</f>
        <v>000190</v>
      </c>
      <c r="Q82" s="10">
        <v>43484</v>
      </c>
      <c r="R82" s="11"/>
      <c r="S82" s="11" t="str">
        <f>"009510"</f>
        <v>009510</v>
      </c>
      <c r="T82" s="10">
        <v>43525</v>
      </c>
      <c r="U82" s="14">
        <v>1.4931000000000001</v>
      </c>
      <c r="V82" s="14">
        <v>0.17419999999999999</v>
      </c>
      <c r="W82" s="14">
        <v>1.3189</v>
      </c>
      <c r="X82" s="11">
        <v>368</v>
      </c>
      <c r="Y82" s="10">
        <v>43530</v>
      </c>
      <c r="Z82" s="11">
        <v>9449863065</v>
      </c>
      <c r="AA82" s="12" t="s">
        <v>141</v>
      </c>
      <c r="AB82" s="11" t="s">
        <v>62</v>
      </c>
      <c r="AC82" s="12" t="s">
        <v>63</v>
      </c>
      <c r="AD82" s="11" t="s">
        <v>42</v>
      </c>
      <c r="AE82" s="12" t="s">
        <v>43</v>
      </c>
      <c r="AF82" s="14">
        <f t="shared" si="0"/>
        <v>1.4931000000000002E-2</v>
      </c>
      <c r="AG82" s="11" t="s">
        <v>132</v>
      </c>
    </row>
    <row r="83" spans="1:33" x14ac:dyDescent="0.2">
      <c r="A83" s="8">
        <v>9627</v>
      </c>
      <c r="B83" s="9" t="s">
        <v>265</v>
      </c>
      <c r="C83" s="10">
        <v>43538</v>
      </c>
      <c r="D83" s="11">
        <v>7</v>
      </c>
      <c r="E83" s="12" t="s">
        <v>34</v>
      </c>
      <c r="F83" s="12" t="s">
        <v>34</v>
      </c>
      <c r="G83" s="12" t="s">
        <v>34</v>
      </c>
      <c r="H83" s="12" t="s">
        <v>35</v>
      </c>
      <c r="I83" s="11" t="s">
        <v>272</v>
      </c>
      <c r="J83" s="12" t="s">
        <v>273</v>
      </c>
      <c r="K83" s="13" t="s">
        <v>68</v>
      </c>
      <c r="L83" s="11" t="str">
        <f>"000103"</f>
        <v>000103</v>
      </c>
      <c r="M83" s="10">
        <v>43347</v>
      </c>
      <c r="N83" s="11" t="str">
        <f>"000072"</f>
        <v>000072</v>
      </c>
      <c r="O83" s="10">
        <v>43501</v>
      </c>
      <c r="P83" s="11" t="str">
        <f>"000215"</f>
        <v>000215</v>
      </c>
      <c r="Q83" s="10">
        <v>43501</v>
      </c>
      <c r="R83" s="11"/>
      <c r="S83" s="11" t="str">
        <f>"009675"</f>
        <v>009675</v>
      </c>
      <c r="T83" s="10">
        <v>43536</v>
      </c>
      <c r="U83" s="14">
        <v>48.864170000000001</v>
      </c>
      <c r="V83" s="14">
        <v>3.2261099999999998</v>
      </c>
      <c r="W83" s="14">
        <v>45.638060000000003</v>
      </c>
      <c r="X83" s="11">
        <v>373</v>
      </c>
      <c r="Y83" s="10">
        <v>43538</v>
      </c>
      <c r="Z83" s="11">
        <v>9945655299</v>
      </c>
      <c r="AA83" s="12" t="s">
        <v>274</v>
      </c>
      <c r="AB83" s="11" t="s">
        <v>56</v>
      </c>
      <c r="AC83" s="12" t="s">
        <v>57</v>
      </c>
      <c r="AD83" s="11" t="s">
        <v>42</v>
      </c>
      <c r="AE83" s="12" t="s">
        <v>43</v>
      </c>
      <c r="AF83" s="14">
        <f t="shared" si="0"/>
        <v>0.48864170000000001</v>
      </c>
      <c r="AG83" s="11" t="s">
        <v>175</v>
      </c>
    </row>
    <row r="84" spans="1:33" x14ac:dyDescent="0.2">
      <c r="A84" s="8">
        <v>10126</v>
      </c>
      <c r="B84" s="9" t="s">
        <v>265</v>
      </c>
      <c r="C84" s="10">
        <v>43554</v>
      </c>
      <c r="D84" s="11">
        <v>7</v>
      </c>
      <c r="E84" s="12" t="s">
        <v>34</v>
      </c>
      <c r="F84" s="12" t="s">
        <v>34</v>
      </c>
      <c r="G84" s="12" t="s">
        <v>34</v>
      </c>
      <c r="H84" s="12" t="s">
        <v>35</v>
      </c>
      <c r="I84" s="11" t="s">
        <v>275</v>
      </c>
      <c r="J84" s="12" t="s">
        <v>276</v>
      </c>
      <c r="K84" s="13" t="s">
        <v>54</v>
      </c>
      <c r="L84" s="11" t="str">
        <f>"000010"</f>
        <v>000010</v>
      </c>
      <c r="M84" s="10">
        <v>43017</v>
      </c>
      <c r="N84" s="11" t="str">
        <f>"000014"</f>
        <v>000014</v>
      </c>
      <c r="O84" s="10">
        <v>43293</v>
      </c>
      <c r="P84" s="11" t="str">
        <f>"000045"</f>
        <v>000045</v>
      </c>
      <c r="Q84" s="10">
        <v>43294</v>
      </c>
      <c r="R84" s="11"/>
      <c r="S84" s="11" t="str">
        <f>"010166"</f>
        <v>010166</v>
      </c>
      <c r="T84" s="10">
        <v>43554</v>
      </c>
      <c r="U84" s="14">
        <v>17.956379999999999</v>
      </c>
      <c r="V84" s="14">
        <v>0.37708000000000003</v>
      </c>
      <c r="W84" s="14">
        <v>17.5793</v>
      </c>
      <c r="X84" s="11">
        <v>394</v>
      </c>
      <c r="Y84" s="10">
        <v>43554</v>
      </c>
      <c r="Z84" s="11">
        <v>9035637741</v>
      </c>
      <c r="AA84" s="12" t="s">
        <v>277</v>
      </c>
      <c r="AB84" s="11" t="s">
        <v>76</v>
      </c>
      <c r="AC84" s="12" t="s">
        <v>77</v>
      </c>
      <c r="AD84" s="11" t="s">
        <v>42</v>
      </c>
      <c r="AE84" s="12" t="s">
        <v>43</v>
      </c>
      <c r="AF84" s="14">
        <f t="shared" si="0"/>
        <v>0.1795638</v>
      </c>
      <c r="AG84" s="11" t="s">
        <v>132</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2019-06-12T10:57:01Z</dcterms:modified>
</cp:coreProperties>
</file>