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5" i="1" l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<sst xmlns="http://schemas.openxmlformats.org/spreadsheetml/2006/main" count="932" uniqueCount="247">
  <si>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</si>
  <si>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</si>
  <si>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</si>
  <si>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</si>
  <si>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</si>
  <si>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</si>
  <si>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</si>
  <si>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</si>
  <si>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</si>
  <si>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</si>
  <si>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</si>
  <si>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</si>
  <si>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</si>
  <si>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</si>
  <si>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</si>
  <si>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</si>
  <si>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</si>
  <si>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</si>
  <si>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</si>
  <si>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</si>
  <si>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</si>
  <si>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</si>
  <si>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</si>
  <si>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</si>
  <si>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</si>
  <si>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</si>
  <si>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</si>
  <si>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</si>
  <si>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</si>
  <si>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</si>
  <si>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</si>
  <si>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</si>
  <si>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</si>
  <si>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</si>
  <si>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Rajagopal Nagara</t>
  </si>
  <si>
    <t>Heggana Halli</t>
  </si>
  <si>
    <t>Dasara Halli</t>
  </si>
  <si>
    <t>070-17-000034</t>
  </si>
  <si>
    <t>Improvements and asphalting to 2nd and 3rd cross roads at Srigandha nagara opp to KTG college main roads in ward no. 70</t>
  </si>
  <si>
    <t>Roads &amp; Drivablility</t>
  </si>
  <si>
    <t xml:space="preserve"> Madava Reddy K</t>
  </si>
  <si>
    <t>P3089</t>
  </si>
  <si>
    <t>Special Development works in 7 CMC and 1 TMC area in BBMP</t>
  </si>
  <si>
    <t>ddo022</t>
  </si>
  <si>
    <t xml:space="preserve"> Assistant Executive Engineer HeganaHalli SubDiv Dasarahalli Zone</t>
  </si>
  <si>
    <t>Pending</t>
  </si>
  <si>
    <t>070-15-000060</t>
  </si>
  <si>
    <t xml:space="preserve"> Re-Asphalting to cross road in Annapoorneswarinagara nd Kapilanagara in ward no 70 </t>
  </si>
  <si>
    <t>kridl</t>
  </si>
  <si>
    <t>P1771</t>
  </si>
  <si>
    <t>Zone Works - POW Works</t>
  </si>
  <si>
    <t>May</t>
  </si>
  <si>
    <t>070-16-000004</t>
  </si>
  <si>
    <t>Drilling of new Borewells with pipeline network at various locations of Rajagopalanagara ward no. 70</t>
  </si>
  <si>
    <t>Water &amp; Sanitary</t>
  </si>
  <si>
    <t>GNANENDRA MURTHY</t>
  </si>
  <si>
    <t>P1802</t>
  </si>
  <si>
    <t>Water Supply New Areas</t>
  </si>
  <si>
    <t>070-18-000033</t>
  </si>
  <si>
    <t xml:space="preserve">Improvements to roads and drains near Sri Rama Temple surrounding area road in ward No.70, Rajagopalanagara. </t>
  </si>
  <si>
    <t>G N RAMESH</t>
  </si>
  <si>
    <t>P3296</t>
  </si>
  <si>
    <t>14th Finance Commission Works - Road and Footpath Maintenance</t>
  </si>
  <si>
    <t>Spill Over</t>
  </si>
  <si>
    <t>070-18-000036</t>
  </si>
  <si>
    <t xml:space="preserve">Improvements to roads and drains near Maruthi Theatre Back side road at Rajagopalanagar in ward No.70, Rajagopalanagara. </t>
  </si>
  <si>
    <t>L.Raghunandan</t>
  </si>
  <si>
    <t>June</t>
  </si>
  <si>
    <t>070-18-000116</t>
  </si>
  <si>
    <t>Providing Street Lights and Maintenance ward no 70 Rajagopalanagara</t>
  </si>
  <si>
    <t>Footpaths &amp; Walkability</t>
  </si>
  <si>
    <t>M/s THE TECHNICAL MANGAGER-2(BBMP) KRIDL</t>
  </si>
  <si>
    <t>P3290</t>
  </si>
  <si>
    <t>14th Finance Commission Works - Providing Street Lights and Maintenance</t>
  </si>
  <si>
    <t>ddo466</t>
  </si>
  <si>
    <t xml:space="preserve"> Assistant Executive Engineer Electrical Dasarahalli Zone</t>
  </si>
  <si>
    <t>070-17-000042</t>
  </si>
  <si>
    <t>Engagement of Gangman and Hiring of Troctor Tippers for cleaning and maintenance of road side drains and other civil works in ward 70</t>
  </si>
  <si>
    <t>Other Ward Works</t>
  </si>
  <si>
    <t xml:space="preserve">Manoj Naik B M </t>
  </si>
  <si>
    <t>P3110</t>
  </si>
  <si>
    <t>14th Finance Commission Grant Works</t>
  </si>
  <si>
    <t>070-16-000007</t>
  </si>
  <si>
    <t>Improvement to cross roads Kempegowda layout in Rajagopalanagara ward no. 70</t>
  </si>
  <si>
    <t>JC RAMACHANDRA</t>
  </si>
  <si>
    <t>070-15-000016</t>
  </si>
  <si>
    <t xml:space="preserve">Removing and Re- setting of drains in Doddanna Industrial Area in Ward No.70 </t>
  </si>
  <si>
    <t>KRIDL</t>
  </si>
  <si>
    <t>P2415</t>
  </si>
  <si>
    <t>Reserve fund for TandF Committee</t>
  </si>
  <si>
    <t>070-15-000042</t>
  </si>
  <si>
    <t>Improvements to main road and cross roads in Kempegowda Layout in ward no. 70</t>
  </si>
  <si>
    <t>Honnappa Murthy</t>
  </si>
  <si>
    <t>070-15-000043</t>
  </si>
  <si>
    <t>Reasphalting to 4th and 5th cross in GKW layot in ward no. 70</t>
  </si>
  <si>
    <t>HONNAPPA MURTHY</t>
  </si>
  <si>
    <t>070-15-000040</t>
  </si>
  <si>
    <t>Improvements and reasphalting to Doddanna Estate main road in ward no. 70</t>
  </si>
  <si>
    <t>070-14-000006</t>
  </si>
  <si>
    <t>Improvement to drain and reasphalting to cross roads near Markandaiah temple in ward no. 70</t>
  </si>
  <si>
    <t>070-15-000031</t>
  </si>
  <si>
    <t>Construcion of drain in cross roads on right side of Ramaiah layout main road in ward no. 70</t>
  </si>
  <si>
    <t>070-15-000033</t>
  </si>
  <si>
    <t>Construction of Deck slab culverts and drain in 5th and 6th cross and near flog post in Kasturinagara in ward no. 70</t>
  </si>
  <si>
    <t>July</t>
  </si>
  <si>
    <t>070-18-000042</t>
  </si>
  <si>
    <t>Construction of retaining wall in Kapilanagara near Veerabramma swamy temple in ward No.70</t>
  </si>
  <si>
    <t>M/s B.N.S.Constructions</t>
  </si>
  <si>
    <t>P3106</t>
  </si>
  <si>
    <t>Nagarothana Works</t>
  </si>
  <si>
    <t>ddo313</t>
  </si>
  <si>
    <t xml:space="preserve"> Chief Engineer SWD Central Zone</t>
  </si>
  <si>
    <t>070-18-000041</t>
  </si>
  <si>
    <t>Construction of RCC box culvert and U Shape drain for secondary SWD from Basappana katte down stream in Shambavinagar in Ward no.70</t>
  </si>
  <si>
    <t>070-16-000001</t>
  </si>
  <si>
    <t>Operation and Maintenance of stree light at Rajgopalanagara Ward No. 70 Package D-8</t>
  </si>
  <si>
    <t>M/s Sri Lakshminarasimha Electricals</t>
  </si>
  <si>
    <t>P0300</t>
  </si>
  <si>
    <t>M and R to Street Lights - Replacement of Burnt Bulbs etc. (Package)</t>
  </si>
  <si>
    <t>August</t>
  </si>
  <si>
    <t>070-18-000035</t>
  </si>
  <si>
    <t xml:space="preserve">Improvements to roads and drains to 5th and 6th cross near Ganesh Temple at Rajagopalanagar in ward No.70, Rajagopalanagara. </t>
  </si>
  <si>
    <t>070-17-000019</t>
  </si>
  <si>
    <t>Providing Street Light at Rajagopalanagara in ward no 70 Hegganahalli Sub division</t>
  </si>
  <si>
    <t>M/s Sri Lakshmi Narasimha electricals</t>
  </si>
  <si>
    <t>September</t>
  </si>
  <si>
    <t>070-16-000041</t>
  </si>
  <si>
    <t>Construction of drain near Siddalingappa Circle right side surrounding area at Bhyraveshwara nagara in ward no 70</t>
  </si>
  <si>
    <t>P0190</t>
  </si>
  <si>
    <t>Works sanctioned by Hon Mayor</t>
  </si>
  <si>
    <t>070-16-000045</t>
  </si>
  <si>
    <t>Construction of drains and culverts to main road near Bilpatre tree area at Bhyraveshwara nagara in ward no 70</t>
  </si>
  <si>
    <t>070-18-000003</t>
  </si>
  <si>
    <t>Providing and Fixing of Street Name Boards in ward no 70.</t>
  </si>
  <si>
    <t>P3111</t>
  </si>
  <si>
    <t>State Finance Commission Untied Grant Works</t>
  </si>
  <si>
    <t>070-17-000048</t>
  </si>
  <si>
    <t>Providing CC Camera at Garbage Block Spots in ward no 70</t>
  </si>
  <si>
    <t>Crime &amp; Safety</t>
  </si>
  <si>
    <t>Jagaish K</t>
  </si>
  <si>
    <t>October</t>
  </si>
  <si>
    <t>070-15-000028</t>
  </si>
  <si>
    <t>Construction of culverts and drain near Shimsha Polymer factory in 15th cross of Srigandha nagra W. No.70.(Emergency work )</t>
  </si>
  <si>
    <t>RAMACHANDRAIAH</t>
  </si>
  <si>
    <t>070-16-000012</t>
  </si>
  <si>
    <t>Reconstruction and Repairs to Culverts in ward no. 70 Rajagopalanagara.</t>
  </si>
  <si>
    <t>NAGARAJA</t>
  </si>
  <si>
    <t>070-17-000028</t>
  </si>
  <si>
    <t>Annual Maintenance and repairs to Water Supply In Ward No 70 Rajagopala Nagara</t>
  </si>
  <si>
    <t>304-18-000036</t>
  </si>
  <si>
    <t>Improvements to roads and drains at Raghavendra School surrounding area at Basappanakatte in ward No-70.</t>
  </si>
  <si>
    <t xml:space="preserve">M/s. Technical Manager </t>
  </si>
  <si>
    <t>P3158</t>
  </si>
  <si>
    <t>SIP Infrastructure Project works</t>
  </si>
  <si>
    <t>ddo663</t>
  </si>
  <si>
    <t xml:space="preserve"> Executive Engineer Road Infrastructure Dasarahalli Division Central Zone</t>
  </si>
  <si>
    <t>Current</t>
  </si>
  <si>
    <t>304-18-000035</t>
  </si>
  <si>
    <t>Consultancy Services for Preparation of Detailed Project Report for the work of Improvement of 8 no of roads and drains in ward no- 70, of Dasarahalli Zone.</t>
  </si>
  <si>
    <t>M/s Technical Manager-West</t>
  </si>
  <si>
    <t>304-18-000047</t>
  </si>
  <si>
    <t>Improvements to roads and drains at BBMP office Oppl. Surrounding area at Srigandhanagara in ward No-70, Rajgopalanagar</t>
  </si>
  <si>
    <t>304-18-000038</t>
  </si>
  <si>
    <t>Improvements to roads and drains at Bodubunde Anjaneya Temple surrounding area in ward No-70.</t>
  </si>
  <si>
    <t>304-18-000043</t>
  </si>
  <si>
    <t>Consultancy Services for Preparation of Detailed Project Report for the work of Improvement of 7 no of roads and drains in ward no-70 of Dasarahalli zone.</t>
  </si>
  <si>
    <t>070-17-000014</t>
  </si>
  <si>
    <t>Desilting of drains and removal of debris in ward no 70 Rajgopala nagara heganahalli Sub division</t>
  </si>
  <si>
    <t>GNANENDRA MURTHY MD</t>
  </si>
  <si>
    <t>January</t>
  </si>
  <si>
    <t>304-18-000039</t>
  </si>
  <si>
    <t>Improvements to roads and drains at Markandeya temple surrounding area in ward No 70.</t>
  </si>
  <si>
    <t>304-18-000049</t>
  </si>
  <si>
    <t>Improvements to roads and drains at back side of DM public school surrounding area at Bhyraveshawara nagar in ward No 70.</t>
  </si>
  <si>
    <t xml:space="preserve">M/s. Sri Sai Consultants </t>
  </si>
  <si>
    <t>M/s Sri Sai Consultants</t>
  </si>
  <si>
    <t>304-18-000041</t>
  </si>
  <si>
    <t>Improvements to roads and drains at back side of Konika Garments surrounding area in ward No-70, Rajgopalanagar</t>
  </si>
  <si>
    <t>M/s. Technical Manager-West</t>
  </si>
  <si>
    <t>070-16-000043</t>
  </si>
  <si>
    <t>Construction of drains to cross roads near Bilpatre tree area at Byraveshwara nagara in ward no 70</t>
  </si>
  <si>
    <t>070-15-000069</t>
  </si>
  <si>
    <t>Providing drain and Pathways at GKW layout parks, in ward no. 70, in dasarahalli project sub division.</t>
  </si>
  <si>
    <t>P0088</t>
  </si>
  <si>
    <t>Maintenance and Management of Parks on Contract</t>
  </si>
  <si>
    <t>ddo464</t>
  </si>
  <si>
    <t xml:space="preserve"> Assistant Executive Engineer Project - 1 Dasarahalli Zone</t>
  </si>
  <si>
    <t>304-18-000046</t>
  </si>
  <si>
    <t>Improvements to roads and drains at Ramaiah Badavane main and cross roads in ward No 70 Rajgopalanagar</t>
  </si>
  <si>
    <t>February</t>
  </si>
  <si>
    <t>070-16-000050</t>
  </si>
  <si>
    <t>Improvements to drains and culverts near Duggalamma Temple at Basappanakatte in ward no. 70</t>
  </si>
  <si>
    <t>P1878</t>
  </si>
  <si>
    <t>18per - Works (Bhagyajyothi, Sooru / Neeru Yojane and General) (54 Lakhs / New Wards)</t>
  </si>
  <si>
    <t>070-18-000030</t>
  </si>
  <si>
    <t>Providing and fixing LED Street lights in Rajagopalanagara main road Hegganahalli main road and etc., in ward no 70</t>
  </si>
  <si>
    <t>THE TECHNICAL MANGER (BBMP) KRIDL</t>
  </si>
  <si>
    <t>P2178</t>
  </si>
  <si>
    <t>Works sanctioned by Dy. Mayor</t>
  </si>
  <si>
    <t>070-18-000031</t>
  </si>
  <si>
    <t>Providing and fixing LED Street lights in KTG main road, Kareem Sab Layout main road and etc., in ward no 70</t>
  </si>
  <si>
    <t>March</t>
  </si>
  <si>
    <t>070-17-000018</t>
  </si>
  <si>
    <t>Improvements to drain at 10th main 9th cross right side in ward no 70 Rajgopalanagara Heganahalli Sub division</t>
  </si>
  <si>
    <t>MUNIRAJU NAIK</t>
  </si>
  <si>
    <t>070-17-000017</t>
  </si>
  <si>
    <t>Improvements to drain at 10th main 8th cross Right Side in ward no 70 Rajgopalangara Heganahalli Sub division</t>
  </si>
  <si>
    <t>KUMAR DV</t>
  </si>
  <si>
    <t>070-16-000011</t>
  </si>
  <si>
    <t>Reasphalting to cross roads opposite Maruthi theatre in Rajagopalanagara Ward No. 70</t>
  </si>
  <si>
    <t>RAMESH GN</t>
  </si>
  <si>
    <t>070-15-000044</t>
  </si>
  <si>
    <t>Reasphalting to cross roads in both sides of Doddanna Industrial main road in ward no. 70</t>
  </si>
  <si>
    <t>070-16-000010</t>
  </si>
  <si>
    <t>Reasphalting to cross roads in Kasturi Badavane in Rajagopalanagara Ward No. 70</t>
  </si>
  <si>
    <t>RAMESH G N</t>
  </si>
  <si>
    <t>070-16-000019</t>
  </si>
  <si>
    <t>Improvements to roads at Kasthuri Badavane in ward no 70</t>
  </si>
  <si>
    <t>070-16-000020</t>
  </si>
  <si>
    <t>Improvements to roads and drains at Kempegowda layout in ward no 70</t>
  </si>
  <si>
    <t>070-16-000042</t>
  </si>
  <si>
    <t>Construction of drain at D M public school main road from 1st cross to 8th cross in ward no 70</t>
  </si>
  <si>
    <t>070-16-000044</t>
  </si>
  <si>
    <t>Construction of drains at 3 A and 5th cross near Shambhavi nagara in ward no 70</t>
  </si>
  <si>
    <t>A</t>
  </si>
  <si>
    <t>070-16-000047</t>
  </si>
  <si>
    <t>Improvements to Drains to cross roads at Jnanodaya school to ward boundary in Shambhavi Nagara in ward no 70</t>
  </si>
  <si>
    <t>070-16-000048</t>
  </si>
  <si>
    <t>Improvements to Drain at cross roads of Kasthuri Badavane in ward no 70</t>
  </si>
  <si>
    <t>070-16-000046</t>
  </si>
  <si>
    <t>Improvements to Drains to right side at Sathish Circle near Rajagopalanagara in ward no 70</t>
  </si>
  <si>
    <t>070-17-000022</t>
  </si>
  <si>
    <t>Providing covering slab and improvements to drain at om shakthi medical shop to Muneshwara temple at 6th main in ward no 70 Rajgopalangara Heganahalli Sub division</t>
  </si>
  <si>
    <t>070-17-000023</t>
  </si>
  <si>
    <t>Reconstruction of drain and repairs to culvert in ward no 70 Rajgopalangara Heganahalli Sub division</t>
  </si>
  <si>
    <t>070-17-000024</t>
  </si>
  <si>
    <t>Repairs and reconstruction of footpath in in ward no 70 Rajgopalangara Heganahalli Sub division</t>
  </si>
  <si>
    <t>MANOJ NAIK</t>
  </si>
  <si>
    <t>070-19-000033</t>
  </si>
  <si>
    <t>Providing and Fixing of LED Street lights and Conntrol Switch in Rajagopalanagara Basappanakatte surrounding area and etc in ward no 70</t>
  </si>
  <si>
    <t>M/s Sansam Controls and automation</t>
  </si>
  <si>
    <t>070-19-000034</t>
  </si>
  <si>
    <t>Providing and Fixing of LED Street lights and Conntrol Switch in Rama Badavane GKW L-O surrounding area and etc., in ward no 70</t>
  </si>
  <si>
    <t xml:space="preserve"> M/s SANSAM CONTROLS AND AUTOMATION</t>
  </si>
  <si>
    <t>070-17-000010</t>
  </si>
  <si>
    <t>Construction of drain and Providing Covering slabs at 7th cross from church and Gangamma House in ward no 70 Rajgopalangara Heganahalli Sub division</t>
  </si>
  <si>
    <t>THIPPESWAMY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</si>
</sst>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tabSelected="1" workbookViewId="0">
      <pane ySplit="1" topLeftCell="A2" activePane="bottomLeft" state="frozen"/>
      <selection activeCell="H1" sqref="H1"/>
      <selection pane="bottomLeft" activeCell="D9" sqref="D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252</v>
      </c>
      <c r="B2" s="9" t="s">
        <v>33</v>
      </c>
      <c r="C2" s="10">
        <v>43196</v>
      </c>
      <c r="D2" s="11">
        <v>70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"000176"</f>
        <v>000176</v>
      </c>
      <c r="M2" s="10">
        <v>43104</v>
      </c>
      <c r="N2" s="11" t="str">
        <f>"000017"</f>
        <v>000017</v>
      </c>
      <c r="O2" s="10">
        <v>43143</v>
      </c>
      <c r="P2" s="11" t="str">
        <f>"000101"</f>
        <v>000101</v>
      </c>
      <c r="Q2" s="10">
        <v>43152</v>
      </c>
      <c r="R2" s="11">
        <v>17</v>
      </c>
      <c r="S2" s="11" t="str">
        <f>"000320"</f>
        <v>000320</v>
      </c>
      <c r="T2" s="10">
        <v>43196</v>
      </c>
      <c r="U2" s="14">
        <v>38.727679999999999</v>
      </c>
      <c r="V2" s="14">
        <v>1.29739</v>
      </c>
      <c r="W2" s="14">
        <v>37.430289999999999</v>
      </c>
      <c r="X2" s="11">
        <v>7</v>
      </c>
      <c r="Y2" s="10">
        <v>43196</v>
      </c>
      <c r="Z2" s="11">
        <v>8553628676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0.38727679999999998</v>
      </c>
      <c r="AG2" s="11" t="s">
        <v>45</v>
      </c>
    </row>
    <row r="3" spans="1:33" x14ac:dyDescent="0.2">
      <c r="A3" s="8">
        <v>380</v>
      </c>
      <c r="B3" s="9" t="s">
        <v>33</v>
      </c>
      <c r="C3" s="10">
        <v>43200</v>
      </c>
      <c r="D3" s="11">
        <v>70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"000268"</f>
        <v>000268</v>
      </c>
      <c r="M3" s="10">
        <v>42063</v>
      </c>
      <c r="N3" s="11" t="str">
        <f>"000357"</f>
        <v>000357</v>
      </c>
      <c r="O3" s="10">
        <v>42308</v>
      </c>
      <c r="P3" s="11" t="str">
        <f>"000127"</f>
        <v>000127</v>
      </c>
      <c r="Q3" s="10">
        <v>42525</v>
      </c>
      <c r="R3" s="11">
        <v>15</v>
      </c>
      <c r="S3" s="11" t="str">
        <f>"011004"</f>
        <v>011004</v>
      </c>
      <c r="T3" s="10">
        <v>43187</v>
      </c>
      <c r="U3" s="14">
        <v>19.739899999999999</v>
      </c>
      <c r="V3" s="14">
        <v>2.5891799999999998</v>
      </c>
      <c r="W3" s="14">
        <v>17.15072</v>
      </c>
      <c r="X3" s="11">
        <v>9</v>
      </c>
      <c r="Y3" s="10">
        <v>43200</v>
      </c>
      <c r="Z3" s="11">
        <v>9886219099</v>
      </c>
      <c r="AA3" s="12" t="s">
        <v>48</v>
      </c>
      <c r="AB3" s="11" t="s">
        <v>49</v>
      </c>
      <c r="AC3" s="12" t="s">
        <v>50</v>
      </c>
      <c r="AD3" s="11" t="s">
        <v>43</v>
      </c>
      <c r="AE3" s="12" t="s">
        <v>44</v>
      </c>
      <c r="AF3" s="14">
        <v>0.19739899999999999</v>
      </c>
      <c r="AG3" s="11" t="s">
        <v>45</v>
      </c>
    </row>
    <row r="4" spans="1:33" x14ac:dyDescent="0.2">
      <c r="A4" s="8">
        <v>1118</v>
      </c>
      <c r="B4" s="9" t="s">
        <v>51</v>
      </c>
      <c r="C4" s="10">
        <v>43230</v>
      </c>
      <c r="D4" s="11">
        <v>70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54</v>
      </c>
      <c r="L4" s="11" t="str">
        <f>"000016"</f>
        <v>000016</v>
      </c>
      <c r="M4" s="10">
        <v>42501</v>
      </c>
      <c r="N4" s="11" t="str">
        <f>"000141"</f>
        <v>000141</v>
      </c>
      <c r="O4" s="10">
        <v>42824</v>
      </c>
      <c r="P4" s="11" t="str">
        <f>"000718"</f>
        <v>000718</v>
      </c>
      <c r="Q4" s="10">
        <v>42825</v>
      </c>
      <c r="R4" s="11">
        <v>16</v>
      </c>
      <c r="S4" s="11" t="str">
        <f>"001354"</f>
        <v>001354</v>
      </c>
      <c r="T4" s="10">
        <v>43229</v>
      </c>
      <c r="U4" s="14">
        <v>11.223000000000001</v>
      </c>
      <c r="V4" s="14">
        <v>0.7077</v>
      </c>
      <c r="W4" s="14">
        <v>10.5153</v>
      </c>
      <c r="X4" s="11">
        <v>49</v>
      </c>
      <c r="Y4" s="10">
        <v>43230</v>
      </c>
      <c r="Z4" s="11">
        <v>9986020978</v>
      </c>
      <c r="AA4" s="12" t="s">
        <v>55</v>
      </c>
      <c r="AB4" s="11" t="s">
        <v>56</v>
      </c>
      <c r="AC4" s="12" t="s">
        <v>57</v>
      </c>
      <c r="AD4" s="11" t="s">
        <v>43</v>
      </c>
      <c r="AE4" s="12" t="s">
        <v>44</v>
      </c>
      <c r="AF4" s="14">
        <v>0.11223000000000001</v>
      </c>
      <c r="AG4" s="11" t="s">
        <v>45</v>
      </c>
    </row>
    <row r="5" spans="1:33" x14ac:dyDescent="0.2">
      <c r="A5" s="8">
        <v>1310</v>
      </c>
      <c r="B5" s="9" t="s">
        <v>51</v>
      </c>
      <c r="C5" s="10">
        <v>43241</v>
      </c>
      <c r="D5" s="11">
        <v>70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58</v>
      </c>
      <c r="J5" s="12" t="s">
        <v>59</v>
      </c>
      <c r="K5" s="13" t="s">
        <v>39</v>
      </c>
      <c r="L5" s="11" t="str">
        <f>"000170"</f>
        <v>000170</v>
      </c>
      <c r="M5" s="10">
        <v>43098</v>
      </c>
      <c r="N5" s="11" t="str">
        <f>"000004"</f>
        <v>000004</v>
      </c>
      <c r="O5" s="10">
        <v>43200</v>
      </c>
      <c r="P5" s="11" t="str">
        <f>"000018"</f>
        <v>000018</v>
      </c>
      <c r="Q5" s="10">
        <v>43211</v>
      </c>
      <c r="R5" s="11">
        <v>18</v>
      </c>
      <c r="S5" s="11" t="str">
        <f>"001676"</f>
        <v>001676</v>
      </c>
      <c r="T5" s="10">
        <v>43239</v>
      </c>
      <c r="U5" s="14">
        <v>48.656309999999998</v>
      </c>
      <c r="V5" s="14">
        <v>1.75162</v>
      </c>
      <c r="W5" s="14">
        <v>46.904690000000002</v>
      </c>
      <c r="X5" s="11">
        <v>56</v>
      </c>
      <c r="Y5" s="10">
        <v>43241</v>
      </c>
      <c r="Z5" s="11">
        <v>9743188999</v>
      </c>
      <c r="AA5" s="12" t="s">
        <v>60</v>
      </c>
      <c r="AB5" s="11" t="s">
        <v>61</v>
      </c>
      <c r="AC5" s="12" t="s">
        <v>62</v>
      </c>
      <c r="AD5" s="11" t="s">
        <v>43</v>
      </c>
      <c r="AE5" s="12" t="s">
        <v>44</v>
      </c>
      <c r="AF5" s="14">
        <v>0.48656309999999997</v>
      </c>
      <c r="AG5" s="11" t="s">
        <v>63</v>
      </c>
    </row>
    <row r="6" spans="1:33" x14ac:dyDescent="0.2">
      <c r="A6" s="8">
        <v>1311</v>
      </c>
      <c r="B6" s="9" t="s">
        <v>51</v>
      </c>
      <c r="C6" s="10">
        <v>43241</v>
      </c>
      <c r="D6" s="11">
        <v>70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64</v>
      </c>
      <c r="J6" s="12" t="s">
        <v>65</v>
      </c>
      <c r="K6" s="13" t="s">
        <v>39</v>
      </c>
      <c r="L6" s="11" t="str">
        <f>"000165"</f>
        <v>000165</v>
      </c>
      <c r="M6" s="10">
        <v>43097</v>
      </c>
      <c r="N6" s="11" t="str">
        <f>"000002"</f>
        <v>000002</v>
      </c>
      <c r="O6" s="10">
        <v>43199</v>
      </c>
      <c r="P6" s="11" t="str">
        <f>"000019"</f>
        <v>000019</v>
      </c>
      <c r="Q6" s="10">
        <v>43211</v>
      </c>
      <c r="R6" s="11">
        <v>18</v>
      </c>
      <c r="S6" s="11" t="str">
        <f>"001677"</f>
        <v>001677</v>
      </c>
      <c r="T6" s="10">
        <v>43239</v>
      </c>
      <c r="U6" s="14">
        <v>48.633209999999998</v>
      </c>
      <c r="V6" s="14">
        <v>1.75078</v>
      </c>
      <c r="W6" s="14">
        <v>46.882429999999999</v>
      </c>
      <c r="X6" s="11">
        <v>56</v>
      </c>
      <c r="Y6" s="10">
        <v>43241</v>
      </c>
      <c r="Z6" s="11">
        <v>9743188999</v>
      </c>
      <c r="AA6" s="12" t="s">
        <v>66</v>
      </c>
      <c r="AB6" s="11" t="s">
        <v>61</v>
      </c>
      <c r="AC6" s="12" t="s">
        <v>62</v>
      </c>
      <c r="AD6" s="11" t="s">
        <v>43</v>
      </c>
      <c r="AE6" s="12" t="s">
        <v>44</v>
      </c>
      <c r="AF6" s="14">
        <v>0.48633209999999999</v>
      </c>
      <c r="AG6" s="11" t="s">
        <v>63</v>
      </c>
    </row>
    <row r="7" spans="1:33" x14ac:dyDescent="0.2">
      <c r="A7" s="8">
        <v>1789</v>
      </c>
      <c r="B7" s="9" t="s">
        <v>67</v>
      </c>
      <c r="C7" s="10">
        <v>43257</v>
      </c>
      <c r="D7" s="11">
        <v>70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68</v>
      </c>
      <c r="J7" s="12" t="s">
        <v>69</v>
      </c>
      <c r="K7" s="13" t="s">
        <v>70</v>
      </c>
      <c r="L7" s="11" t="str">
        <f>"000016"</f>
        <v>000016</v>
      </c>
      <c r="M7" s="10">
        <v>43137</v>
      </c>
      <c r="N7" s="11" t="str">
        <f>"000022"</f>
        <v>000022</v>
      </c>
      <c r="O7" s="10">
        <v>43153</v>
      </c>
      <c r="P7" s="11" t="str">
        <f>"000022"</f>
        <v>000022</v>
      </c>
      <c r="Q7" s="10">
        <v>43153</v>
      </c>
      <c r="R7" s="11">
        <v>18</v>
      </c>
      <c r="S7" s="11" t="str">
        <f>"002029"</f>
        <v>002029</v>
      </c>
      <c r="T7" s="10">
        <v>43248</v>
      </c>
      <c r="U7" s="14">
        <v>9.9900699999999993</v>
      </c>
      <c r="V7" s="14">
        <v>0.80923999999999996</v>
      </c>
      <c r="W7" s="14">
        <v>9.1808300000000003</v>
      </c>
      <c r="X7" s="11">
        <v>72</v>
      </c>
      <c r="Y7" s="10">
        <v>43257</v>
      </c>
      <c r="Z7" s="11">
        <v>9986313631</v>
      </c>
      <c r="AA7" s="12" t="s">
        <v>71</v>
      </c>
      <c r="AB7" s="11" t="s">
        <v>72</v>
      </c>
      <c r="AC7" s="12" t="s">
        <v>73</v>
      </c>
      <c r="AD7" s="11" t="s">
        <v>74</v>
      </c>
      <c r="AE7" s="12" t="s">
        <v>75</v>
      </c>
      <c r="AF7" s="14">
        <v>9.9900699999999995E-2</v>
      </c>
      <c r="AG7" s="11" t="s">
        <v>45</v>
      </c>
    </row>
    <row r="8" spans="1:33" x14ac:dyDescent="0.2">
      <c r="A8" s="8">
        <v>1790</v>
      </c>
      <c r="B8" s="9" t="s">
        <v>67</v>
      </c>
      <c r="C8" s="10">
        <v>43257</v>
      </c>
      <c r="D8" s="11">
        <v>70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76</v>
      </c>
      <c r="J8" s="12" t="s">
        <v>77</v>
      </c>
      <c r="K8" s="13" t="s">
        <v>78</v>
      </c>
      <c r="L8" s="11" t="str">
        <f>"000101"</f>
        <v>000101</v>
      </c>
      <c r="M8" s="10">
        <v>43075</v>
      </c>
      <c r="N8" s="11" t="str">
        <f>"000037"</f>
        <v>000037</v>
      </c>
      <c r="O8" s="10">
        <v>43185</v>
      </c>
      <c r="P8" s="11" t="str">
        <f>"000011"</f>
        <v>000011</v>
      </c>
      <c r="Q8" s="10">
        <v>43201</v>
      </c>
      <c r="R8" s="11">
        <v>17</v>
      </c>
      <c r="S8" s="11" t="str">
        <f>"002054"</f>
        <v>002054</v>
      </c>
      <c r="T8" s="10">
        <v>43249</v>
      </c>
      <c r="U8" s="14">
        <v>9.7199000000000009</v>
      </c>
      <c r="V8" s="14">
        <v>0.20412</v>
      </c>
      <c r="W8" s="14">
        <v>9.5157799999999995</v>
      </c>
      <c r="X8" s="11">
        <v>72</v>
      </c>
      <c r="Y8" s="10">
        <v>43257</v>
      </c>
      <c r="Z8" s="11">
        <v>9986020978</v>
      </c>
      <c r="AA8" s="12" t="s">
        <v>79</v>
      </c>
      <c r="AB8" s="11" t="s">
        <v>80</v>
      </c>
      <c r="AC8" s="12" t="s">
        <v>81</v>
      </c>
      <c r="AD8" s="11" t="s">
        <v>43</v>
      </c>
      <c r="AE8" s="12" t="s">
        <v>44</v>
      </c>
      <c r="AF8" s="14">
        <v>9.7199000000000008E-2</v>
      </c>
      <c r="AG8" s="11" t="s">
        <v>63</v>
      </c>
    </row>
    <row r="9" spans="1:33" x14ac:dyDescent="0.2">
      <c r="A9" s="8">
        <v>2010</v>
      </c>
      <c r="B9" s="9" t="s">
        <v>67</v>
      </c>
      <c r="C9" s="10">
        <v>43262</v>
      </c>
      <c r="D9" s="11">
        <v>70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82</v>
      </c>
      <c r="J9" s="12" t="s">
        <v>83</v>
      </c>
      <c r="K9" s="13" t="s">
        <v>39</v>
      </c>
      <c r="L9" s="11" t="str">
        <f>"000067"</f>
        <v>000067</v>
      </c>
      <c r="M9" s="10">
        <v>42453</v>
      </c>
      <c r="N9" s="11" t="str">
        <f>"000164"</f>
        <v>000164</v>
      </c>
      <c r="O9" s="10">
        <v>42632</v>
      </c>
      <c r="P9" s="11" t="str">
        <f>"000416"</f>
        <v>000416</v>
      </c>
      <c r="Q9" s="10">
        <v>42633</v>
      </c>
      <c r="R9" s="11">
        <v>16</v>
      </c>
      <c r="S9" s="11" t="str">
        <f>"002285"</f>
        <v>002285</v>
      </c>
      <c r="T9" s="10">
        <v>43258</v>
      </c>
      <c r="U9" s="14">
        <v>13.535030000000001</v>
      </c>
      <c r="V9" s="14">
        <v>1.0617300000000001</v>
      </c>
      <c r="W9" s="14">
        <v>12.4733</v>
      </c>
      <c r="X9" s="11">
        <v>80</v>
      </c>
      <c r="Y9" s="10">
        <v>43262</v>
      </c>
      <c r="Z9" s="11">
        <v>9889219009</v>
      </c>
      <c r="AA9" s="12" t="s">
        <v>84</v>
      </c>
      <c r="AB9" s="11" t="s">
        <v>49</v>
      </c>
      <c r="AC9" s="12" t="s">
        <v>50</v>
      </c>
      <c r="AD9" s="11" t="s">
        <v>43</v>
      </c>
      <c r="AE9" s="12" t="s">
        <v>44</v>
      </c>
      <c r="AF9" s="14">
        <v>0.13535030000000001</v>
      </c>
      <c r="AG9" s="11" t="s">
        <v>45</v>
      </c>
    </row>
    <row r="10" spans="1:33" x14ac:dyDescent="0.2">
      <c r="A10" s="8">
        <v>2011</v>
      </c>
      <c r="B10" s="9" t="s">
        <v>67</v>
      </c>
      <c r="C10" s="10">
        <v>43262</v>
      </c>
      <c r="D10" s="11">
        <v>70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85</v>
      </c>
      <c r="J10" s="12" t="s">
        <v>86</v>
      </c>
      <c r="K10" s="13" t="s">
        <v>70</v>
      </c>
      <c r="L10" s="11" t="str">
        <f>"000171"</f>
        <v>000171</v>
      </c>
      <c r="M10" s="10">
        <v>41887</v>
      </c>
      <c r="N10" s="11" t="str">
        <f>"000067"</f>
        <v>000067</v>
      </c>
      <c r="O10" s="10">
        <v>42632</v>
      </c>
      <c r="P10" s="11" t="str">
        <f>"000417"</f>
        <v>000417</v>
      </c>
      <c r="Q10" s="10">
        <v>42633</v>
      </c>
      <c r="R10" s="11">
        <v>15</v>
      </c>
      <c r="S10" s="11" t="str">
        <f>"002286"</f>
        <v>002286</v>
      </c>
      <c r="T10" s="10">
        <v>43258</v>
      </c>
      <c r="U10" s="14">
        <v>9.8738700000000001</v>
      </c>
      <c r="V10" s="14">
        <v>1.27345</v>
      </c>
      <c r="W10" s="14">
        <v>8.6004199999999997</v>
      </c>
      <c r="X10" s="11">
        <v>80</v>
      </c>
      <c r="Y10" s="10">
        <v>43262</v>
      </c>
      <c r="Z10" s="11">
        <v>9889219009</v>
      </c>
      <c r="AA10" s="12" t="s">
        <v>87</v>
      </c>
      <c r="AB10" s="11" t="s">
        <v>88</v>
      </c>
      <c r="AC10" s="12" t="s">
        <v>89</v>
      </c>
      <c r="AD10" s="11" t="s">
        <v>43</v>
      </c>
      <c r="AE10" s="12" t="s">
        <v>44</v>
      </c>
      <c r="AF10" s="14">
        <v>9.8738699999999999E-2</v>
      </c>
      <c r="AG10" s="11" t="s">
        <v>45</v>
      </c>
    </row>
    <row r="11" spans="1:33" x14ac:dyDescent="0.2">
      <c r="A11" s="8">
        <v>2012</v>
      </c>
      <c r="B11" s="9" t="s">
        <v>67</v>
      </c>
      <c r="C11" s="10">
        <v>43262</v>
      </c>
      <c r="D11" s="11">
        <v>70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90</v>
      </c>
      <c r="J11" s="12" t="s">
        <v>91</v>
      </c>
      <c r="K11" s="13" t="s">
        <v>39</v>
      </c>
      <c r="L11" s="11" t="str">
        <f>"000042"</f>
        <v>000042</v>
      </c>
      <c r="M11" s="10">
        <v>42557</v>
      </c>
      <c r="N11" s="11" t="str">
        <f>"000064"</f>
        <v>000064</v>
      </c>
      <c r="O11" s="10">
        <v>42632</v>
      </c>
      <c r="P11" s="11" t="str">
        <f>"000418"</f>
        <v>000418</v>
      </c>
      <c r="Q11" s="10">
        <v>42633</v>
      </c>
      <c r="R11" s="11">
        <v>15</v>
      </c>
      <c r="S11" s="11" t="str">
        <f>"002287"</f>
        <v>002287</v>
      </c>
      <c r="T11" s="10">
        <v>43258</v>
      </c>
      <c r="U11" s="14">
        <v>19.198340000000002</v>
      </c>
      <c r="V11" s="14">
        <v>1.56742</v>
      </c>
      <c r="W11" s="14">
        <v>17.63092</v>
      </c>
      <c r="X11" s="11">
        <v>80</v>
      </c>
      <c r="Y11" s="10">
        <v>43262</v>
      </c>
      <c r="Z11" s="11">
        <v>9448542267</v>
      </c>
      <c r="AA11" s="12" t="s">
        <v>92</v>
      </c>
      <c r="AB11" s="11" t="s">
        <v>49</v>
      </c>
      <c r="AC11" s="12" t="s">
        <v>50</v>
      </c>
      <c r="AD11" s="11" t="s">
        <v>43</v>
      </c>
      <c r="AE11" s="12" t="s">
        <v>44</v>
      </c>
      <c r="AF11" s="14">
        <v>0.19198340000000003</v>
      </c>
      <c r="AG11" s="11" t="s">
        <v>45</v>
      </c>
    </row>
    <row r="12" spans="1:33" x14ac:dyDescent="0.2">
      <c r="A12" s="8">
        <v>2013</v>
      </c>
      <c r="B12" s="9" t="s">
        <v>67</v>
      </c>
      <c r="C12" s="10">
        <v>43262</v>
      </c>
      <c r="D12" s="11">
        <v>70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93</v>
      </c>
      <c r="J12" s="12" t="s">
        <v>94</v>
      </c>
      <c r="K12" s="13" t="s">
        <v>39</v>
      </c>
      <c r="L12" s="11" t="str">
        <f>"000043"</f>
        <v>000043</v>
      </c>
      <c r="M12" s="10">
        <v>42557</v>
      </c>
      <c r="N12" s="11" t="str">
        <f>"000065"</f>
        <v>000065</v>
      </c>
      <c r="O12" s="10">
        <v>42632</v>
      </c>
      <c r="P12" s="11" t="str">
        <f>"000419"</f>
        <v>000419</v>
      </c>
      <c r="Q12" s="10">
        <v>42633</v>
      </c>
      <c r="R12" s="11">
        <v>15</v>
      </c>
      <c r="S12" s="11" t="str">
        <f>"002288"</f>
        <v>002288</v>
      </c>
      <c r="T12" s="10">
        <v>43258</v>
      </c>
      <c r="U12" s="14">
        <v>19.30095</v>
      </c>
      <c r="V12" s="14">
        <v>1.4901</v>
      </c>
      <c r="W12" s="14">
        <v>17.810849999999999</v>
      </c>
      <c r="X12" s="11">
        <v>80</v>
      </c>
      <c r="Y12" s="10">
        <v>43262</v>
      </c>
      <c r="Z12" s="11">
        <v>9448542267</v>
      </c>
      <c r="AA12" s="12" t="s">
        <v>95</v>
      </c>
      <c r="AB12" s="11" t="s">
        <v>49</v>
      </c>
      <c r="AC12" s="12" t="s">
        <v>50</v>
      </c>
      <c r="AD12" s="11" t="s">
        <v>43</v>
      </c>
      <c r="AE12" s="12" t="s">
        <v>44</v>
      </c>
      <c r="AF12" s="14">
        <v>0.1930095</v>
      </c>
      <c r="AG12" s="11" t="s">
        <v>45</v>
      </c>
    </row>
    <row r="13" spans="1:33" x14ac:dyDescent="0.2">
      <c r="A13" s="8">
        <v>2014</v>
      </c>
      <c r="B13" s="9" t="s">
        <v>67</v>
      </c>
      <c r="C13" s="10">
        <v>43262</v>
      </c>
      <c r="D13" s="11">
        <v>70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96</v>
      </c>
      <c r="J13" s="12" t="s">
        <v>97</v>
      </c>
      <c r="K13" s="13" t="s">
        <v>39</v>
      </c>
      <c r="L13" s="11" t="str">
        <f>"000041"</f>
        <v>000041</v>
      </c>
      <c r="M13" s="10">
        <v>42557</v>
      </c>
      <c r="N13" s="11" t="str">
        <f>"000066"</f>
        <v>000066</v>
      </c>
      <c r="O13" s="10">
        <v>42632</v>
      </c>
      <c r="P13" s="11" t="str">
        <f>"000420"</f>
        <v>000420</v>
      </c>
      <c r="Q13" s="10">
        <v>42633</v>
      </c>
      <c r="R13" s="11">
        <v>15</v>
      </c>
      <c r="S13" s="11" t="str">
        <f>"002289"</f>
        <v>002289</v>
      </c>
      <c r="T13" s="10">
        <v>43258</v>
      </c>
      <c r="U13" s="14">
        <v>19.18158</v>
      </c>
      <c r="V13" s="14">
        <v>1.4862200000000001</v>
      </c>
      <c r="W13" s="14">
        <v>17.695360000000001</v>
      </c>
      <c r="X13" s="11">
        <v>80</v>
      </c>
      <c r="Y13" s="10">
        <v>43262</v>
      </c>
      <c r="Z13" s="11">
        <v>9448542267</v>
      </c>
      <c r="AA13" s="12" t="s">
        <v>92</v>
      </c>
      <c r="AB13" s="11" t="s">
        <v>49</v>
      </c>
      <c r="AC13" s="12" t="s">
        <v>50</v>
      </c>
      <c r="AD13" s="11" t="s">
        <v>43</v>
      </c>
      <c r="AE13" s="12" t="s">
        <v>44</v>
      </c>
      <c r="AF13" s="14">
        <v>0.19181580000000001</v>
      </c>
      <c r="AG13" s="11" t="s">
        <v>45</v>
      </c>
    </row>
    <row r="14" spans="1:33" x14ac:dyDescent="0.2">
      <c r="A14" s="8">
        <v>2296</v>
      </c>
      <c r="B14" s="9" t="s">
        <v>67</v>
      </c>
      <c r="C14" s="10">
        <v>43269</v>
      </c>
      <c r="D14" s="11">
        <v>70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98</v>
      </c>
      <c r="J14" s="12" t="s">
        <v>99</v>
      </c>
      <c r="K14" s="13" t="s">
        <v>70</v>
      </c>
      <c r="L14" s="11" t="str">
        <f>"00050a"</f>
        <v>00050a</v>
      </c>
      <c r="M14" s="10">
        <v>41815</v>
      </c>
      <c r="N14" s="11" t="str">
        <f>"000000"</f>
        <v>000000</v>
      </c>
      <c r="O14" s="10">
        <v>42557</v>
      </c>
      <c r="P14" s="11" t="str">
        <f>"000238"</f>
        <v>000238</v>
      </c>
      <c r="Q14" s="10">
        <v>42589</v>
      </c>
      <c r="R14" s="11">
        <v>14</v>
      </c>
      <c r="S14" s="11" t="str">
        <f>"002581"</f>
        <v>002581</v>
      </c>
      <c r="T14" s="10">
        <v>43265</v>
      </c>
      <c r="U14" s="14">
        <v>11.73488</v>
      </c>
      <c r="V14" s="14">
        <v>1.5383100000000001</v>
      </c>
      <c r="W14" s="14">
        <v>10.196569999999999</v>
      </c>
      <c r="X14" s="11">
        <v>90</v>
      </c>
      <c r="Y14" s="10">
        <v>43269</v>
      </c>
      <c r="Z14" s="11">
        <v>9889219009</v>
      </c>
      <c r="AA14" s="12" t="s">
        <v>87</v>
      </c>
      <c r="AB14" s="11" t="s">
        <v>49</v>
      </c>
      <c r="AC14" s="12" t="s">
        <v>50</v>
      </c>
      <c r="AD14" s="11" t="s">
        <v>43</v>
      </c>
      <c r="AE14" s="12" t="s">
        <v>44</v>
      </c>
      <c r="AF14" s="14">
        <v>0.1173488</v>
      </c>
      <c r="AG14" s="11" t="s">
        <v>45</v>
      </c>
    </row>
    <row r="15" spans="1:33" x14ac:dyDescent="0.2">
      <c r="A15" s="8">
        <v>2704</v>
      </c>
      <c r="B15" s="9" t="s">
        <v>67</v>
      </c>
      <c r="C15" s="10">
        <v>43278</v>
      </c>
      <c r="D15" s="11">
        <v>70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100</v>
      </c>
      <c r="J15" s="12" t="s">
        <v>101</v>
      </c>
      <c r="K15" s="13" t="s">
        <v>70</v>
      </c>
      <c r="L15" s="11" t="str">
        <f>"000039"</f>
        <v>000039</v>
      </c>
      <c r="M15" s="10">
        <v>42557</v>
      </c>
      <c r="N15" s="11" t="str">
        <f>"000049"</f>
        <v>000049</v>
      </c>
      <c r="O15" s="10">
        <v>42671</v>
      </c>
      <c r="P15" s="11" t="str">
        <f>"000497"</f>
        <v>000497</v>
      </c>
      <c r="Q15" s="10">
        <v>42671</v>
      </c>
      <c r="R15" s="11">
        <v>15</v>
      </c>
      <c r="S15" s="11" t="str">
        <f>"002902"</f>
        <v>002902</v>
      </c>
      <c r="T15" s="10">
        <v>43276</v>
      </c>
      <c r="U15" s="14">
        <v>16.484059999999999</v>
      </c>
      <c r="V15" s="14">
        <v>1.1501699999999999</v>
      </c>
      <c r="W15" s="14">
        <v>15.33389</v>
      </c>
      <c r="X15" s="11">
        <v>103</v>
      </c>
      <c r="Y15" s="10">
        <v>43278</v>
      </c>
      <c r="Z15" s="11">
        <v>9448542267</v>
      </c>
      <c r="AA15" s="12" t="s">
        <v>95</v>
      </c>
      <c r="AB15" s="11" t="s">
        <v>49</v>
      </c>
      <c r="AC15" s="12" t="s">
        <v>50</v>
      </c>
      <c r="AD15" s="11" t="s">
        <v>43</v>
      </c>
      <c r="AE15" s="12" t="s">
        <v>44</v>
      </c>
      <c r="AF15" s="14">
        <v>0.1648406</v>
      </c>
      <c r="AG15" s="11" t="s">
        <v>45</v>
      </c>
    </row>
    <row r="16" spans="1:33" x14ac:dyDescent="0.2">
      <c r="A16" s="8">
        <v>2705</v>
      </c>
      <c r="B16" s="9" t="s">
        <v>67</v>
      </c>
      <c r="C16" s="10">
        <v>43278</v>
      </c>
      <c r="D16" s="11">
        <v>70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102</v>
      </c>
      <c r="J16" s="12" t="s">
        <v>103</v>
      </c>
      <c r="K16" s="13" t="s">
        <v>70</v>
      </c>
      <c r="L16" s="11" t="str">
        <f>"000040"</f>
        <v>000040</v>
      </c>
      <c r="M16" s="10">
        <v>42557</v>
      </c>
      <c r="N16" s="11" t="str">
        <f>"000100"</f>
        <v>000100</v>
      </c>
      <c r="O16" s="10">
        <v>42671</v>
      </c>
      <c r="P16" s="11" t="str">
        <f>"000498"</f>
        <v>000498</v>
      </c>
      <c r="Q16" s="10">
        <v>42671</v>
      </c>
      <c r="R16" s="11">
        <v>15</v>
      </c>
      <c r="S16" s="11" t="str">
        <f>"002903"</f>
        <v>002903</v>
      </c>
      <c r="T16" s="10">
        <v>43276</v>
      </c>
      <c r="U16" s="14">
        <v>14.277559999999999</v>
      </c>
      <c r="V16" s="14">
        <v>1.1529700000000001</v>
      </c>
      <c r="W16" s="14">
        <v>13.12459</v>
      </c>
      <c r="X16" s="11">
        <v>103</v>
      </c>
      <c r="Y16" s="10">
        <v>43278</v>
      </c>
      <c r="Z16" s="11">
        <v>9448542267</v>
      </c>
      <c r="AA16" s="12" t="s">
        <v>95</v>
      </c>
      <c r="AB16" s="11" t="s">
        <v>49</v>
      </c>
      <c r="AC16" s="12" t="s">
        <v>50</v>
      </c>
      <c r="AD16" s="11" t="s">
        <v>43</v>
      </c>
      <c r="AE16" s="12" t="s">
        <v>44</v>
      </c>
      <c r="AF16" s="14">
        <v>0.1427756</v>
      </c>
      <c r="AG16" s="11" t="s">
        <v>45</v>
      </c>
    </row>
    <row r="17" spans="1:33" x14ac:dyDescent="0.2">
      <c r="A17" s="8">
        <v>3221</v>
      </c>
      <c r="B17" s="9" t="s">
        <v>104</v>
      </c>
      <c r="C17" s="10">
        <v>43292</v>
      </c>
      <c r="D17" s="11">
        <v>70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105</v>
      </c>
      <c r="J17" s="12" t="s">
        <v>106</v>
      </c>
      <c r="K17" s="13" t="s">
        <v>78</v>
      </c>
      <c r="L17" s="11" t="str">
        <f>"000001"</f>
        <v>000001</v>
      </c>
      <c r="M17" s="10">
        <v>43097</v>
      </c>
      <c r="N17" s="11" t="str">
        <f>"000005"</f>
        <v>000005</v>
      </c>
      <c r="O17" s="10">
        <v>43097</v>
      </c>
      <c r="P17" s="11" t="str">
        <f>"000072"</f>
        <v>000072</v>
      </c>
      <c r="Q17" s="10">
        <v>43098</v>
      </c>
      <c r="R17" s="11">
        <v>18</v>
      </c>
      <c r="S17" s="11" t="str">
        <f>"003548"</f>
        <v>003548</v>
      </c>
      <c r="T17" s="10">
        <v>43291</v>
      </c>
      <c r="U17" s="14">
        <v>82</v>
      </c>
      <c r="V17" s="14">
        <v>5.1680000000000001</v>
      </c>
      <c r="W17" s="14">
        <v>76.831999999999994</v>
      </c>
      <c r="X17" s="11">
        <v>121</v>
      </c>
      <c r="Y17" s="10">
        <v>43292</v>
      </c>
      <c r="Z17" s="11">
        <v>8660031192</v>
      </c>
      <c r="AA17" s="12" t="s">
        <v>107</v>
      </c>
      <c r="AB17" s="11" t="s">
        <v>108</v>
      </c>
      <c r="AC17" s="12" t="s">
        <v>109</v>
      </c>
      <c r="AD17" s="11" t="s">
        <v>110</v>
      </c>
      <c r="AE17" s="12" t="s">
        <v>111</v>
      </c>
      <c r="AF17" s="14">
        <v>0.82</v>
      </c>
      <c r="AG17" s="11" t="s">
        <v>45</v>
      </c>
    </row>
    <row r="18" spans="1:33" x14ac:dyDescent="0.2">
      <c r="A18" s="8">
        <v>3222</v>
      </c>
      <c r="B18" s="9" t="s">
        <v>104</v>
      </c>
      <c r="C18" s="10">
        <v>43292</v>
      </c>
      <c r="D18" s="11">
        <v>70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112</v>
      </c>
      <c r="J18" s="12" t="s">
        <v>113</v>
      </c>
      <c r="K18" s="13" t="s">
        <v>70</v>
      </c>
      <c r="L18" s="11" t="str">
        <f>"000002"</f>
        <v>000002</v>
      </c>
      <c r="M18" s="10">
        <v>43097</v>
      </c>
      <c r="N18" s="11" t="str">
        <f>"000006"</f>
        <v>000006</v>
      </c>
      <c r="O18" s="10">
        <v>43097</v>
      </c>
      <c r="P18" s="11" t="str">
        <f>"000071"</f>
        <v>000071</v>
      </c>
      <c r="Q18" s="10">
        <v>43098</v>
      </c>
      <c r="R18" s="11">
        <v>18</v>
      </c>
      <c r="S18" s="11" t="str">
        <f>"003549"</f>
        <v>003549</v>
      </c>
      <c r="T18" s="10">
        <v>43291</v>
      </c>
      <c r="U18" s="14">
        <v>136.22999999999999</v>
      </c>
      <c r="V18" s="14">
        <v>9.2360000000000007</v>
      </c>
      <c r="W18" s="14">
        <v>126.994</v>
      </c>
      <c r="X18" s="11">
        <v>121</v>
      </c>
      <c r="Y18" s="10">
        <v>43292</v>
      </c>
      <c r="Z18" s="11">
        <v>9481279148</v>
      </c>
      <c r="AA18" s="12" t="s">
        <v>107</v>
      </c>
      <c r="AB18" s="11" t="s">
        <v>108</v>
      </c>
      <c r="AC18" s="12" t="s">
        <v>109</v>
      </c>
      <c r="AD18" s="11" t="s">
        <v>110</v>
      </c>
      <c r="AE18" s="12" t="s">
        <v>111</v>
      </c>
      <c r="AF18" s="14">
        <v>1.3622999999999998</v>
      </c>
      <c r="AG18" s="11" t="s">
        <v>45</v>
      </c>
    </row>
    <row r="19" spans="1:33" x14ac:dyDescent="0.2">
      <c r="A19" s="8">
        <v>3496</v>
      </c>
      <c r="B19" s="9" t="s">
        <v>104</v>
      </c>
      <c r="C19" s="10">
        <v>43299</v>
      </c>
      <c r="D19" s="11">
        <v>70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114</v>
      </c>
      <c r="J19" s="12" t="s">
        <v>115</v>
      </c>
      <c r="K19" s="13" t="s">
        <v>70</v>
      </c>
      <c r="L19" s="11" t="str">
        <f>"00008A"</f>
        <v>00008A</v>
      </c>
      <c r="M19" s="10">
        <v>42697</v>
      </c>
      <c r="N19" s="11" t="str">
        <f>"000009"</f>
        <v>000009</v>
      </c>
      <c r="O19" s="10">
        <v>43088</v>
      </c>
      <c r="P19" s="11" t="str">
        <f>"000008"</f>
        <v>000008</v>
      </c>
      <c r="Q19" s="10">
        <v>43088</v>
      </c>
      <c r="R19" s="11">
        <v>16</v>
      </c>
      <c r="S19" s="11" t="str">
        <f>"003739"</f>
        <v>003739</v>
      </c>
      <c r="T19" s="10">
        <v>43294</v>
      </c>
      <c r="U19" s="14">
        <v>4.6788800000000004</v>
      </c>
      <c r="V19" s="14">
        <v>0.46578999999999998</v>
      </c>
      <c r="W19" s="14">
        <v>4.2130900000000002</v>
      </c>
      <c r="X19" s="11">
        <v>127</v>
      </c>
      <c r="Y19" s="10">
        <v>43299</v>
      </c>
      <c r="Z19" s="11">
        <v>9964168613</v>
      </c>
      <c r="AA19" s="12" t="s">
        <v>116</v>
      </c>
      <c r="AB19" s="11" t="s">
        <v>117</v>
      </c>
      <c r="AC19" s="12" t="s">
        <v>118</v>
      </c>
      <c r="AD19" s="11" t="s">
        <v>74</v>
      </c>
      <c r="AE19" s="12" t="s">
        <v>75</v>
      </c>
      <c r="AF19" s="14">
        <v>4.6788800000000005E-2</v>
      </c>
      <c r="AG19" s="11" t="s">
        <v>45</v>
      </c>
    </row>
    <row r="20" spans="1:33" x14ac:dyDescent="0.2">
      <c r="A20" s="8">
        <v>3497</v>
      </c>
      <c r="B20" s="9" t="s">
        <v>104</v>
      </c>
      <c r="C20" s="10">
        <v>43299</v>
      </c>
      <c r="D20" s="11">
        <v>70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114</v>
      </c>
      <c r="J20" s="12" t="s">
        <v>115</v>
      </c>
      <c r="K20" s="13" t="s">
        <v>70</v>
      </c>
      <c r="L20" s="11" t="str">
        <f>"00008A"</f>
        <v>00008A</v>
      </c>
      <c r="M20" s="10">
        <v>42697</v>
      </c>
      <c r="N20" s="11" t="str">
        <f>"000009"</f>
        <v>000009</v>
      </c>
      <c r="O20" s="10">
        <v>43088</v>
      </c>
      <c r="P20" s="11" t="str">
        <f>"000008"</f>
        <v>000008</v>
      </c>
      <c r="Q20" s="10">
        <v>43088</v>
      </c>
      <c r="R20" s="11">
        <v>16</v>
      </c>
      <c r="S20" s="11" t="str">
        <f>"003739"</f>
        <v>003739</v>
      </c>
      <c r="T20" s="10">
        <v>43294</v>
      </c>
      <c r="U20" s="14">
        <v>5.8485899999999997</v>
      </c>
      <c r="V20" s="14">
        <v>0.36079</v>
      </c>
      <c r="W20" s="14">
        <v>5.4878</v>
      </c>
      <c r="X20" s="11">
        <v>127</v>
      </c>
      <c r="Y20" s="10">
        <v>43299</v>
      </c>
      <c r="Z20" s="11">
        <v>9964168613</v>
      </c>
      <c r="AA20" s="12" t="s">
        <v>116</v>
      </c>
      <c r="AB20" s="11" t="s">
        <v>117</v>
      </c>
      <c r="AC20" s="12" t="s">
        <v>118</v>
      </c>
      <c r="AD20" s="11" t="s">
        <v>74</v>
      </c>
      <c r="AE20" s="12" t="s">
        <v>75</v>
      </c>
      <c r="AF20" s="14">
        <v>5.84859E-2</v>
      </c>
      <c r="AG20" s="11" t="s">
        <v>45</v>
      </c>
    </row>
    <row r="21" spans="1:33" x14ac:dyDescent="0.2">
      <c r="A21" s="8">
        <v>4225</v>
      </c>
      <c r="B21" s="9" t="s">
        <v>119</v>
      </c>
      <c r="C21" s="10">
        <v>43314</v>
      </c>
      <c r="D21" s="11">
        <v>70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120</v>
      </c>
      <c r="J21" s="12" t="s">
        <v>121</v>
      </c>
      <c r="K21" s="13" t="s">
        <v>39</v>
      </c>
      <c r="L21" s="11" t="str">
        <f>"000167"</f>
        <v>000167</v>
      </c>
      <c r="M21" s="10">
        <v>43098</v>
      </c>
      <c r="N21" s="11" t="str">
        <f>"000039"</f>
        <v>000039</v>
      </c>
      <c r="O21" s="10">
        <v>43286</v>
      </c>
      <c r="P21" s="11" t="str">
        <f>"000112"</f>
        <v>000112</v>
      </c>
      <c r="Q21" s="10">
        <v>43297</v>
      </c>
      <c r="R21" s="11">
        <v>18</v>
      </c>
      <c r="S21" s="11" t="str">
        <f>"004768"</f>
        <v>004768</v>
      </c>
      <c r="T21" s="10">
        <v>43314</v>
      </c>
      <c r="U21" s="14">
        <v>48.72569</v>
      </c>
      <c r="V21" s="14">
        <v>1.75413</v>
      </c>
      <c r="W21" s="14">
        <v>46.971559999999997</v>
      </c>
      <c r="X21" s="11">
        <v>150</v>
      </c>
      <c r="Y21" s="10">
        <v>43314</v>
      </c>
      <c r="Z21" s="11">
        <v>9743188999</v>
      </c>
      <c r="AA21" s="12" t="s">
        <v>66</v>
      </c>
      <c r="AB21" s="11" t="s">
        <v>61</v>
      </c>
      <c r="AC21" s="12" t="s">
        <v>62</v>
      </c>
      <c r="AD21" s="11" t="s">
        <v>43</v>
      </c>
      <c r="AE21" s="12" t="s">
        <v>44</v>
      </c>
      <c r="AF21" s="14">
        <v>0.48725689999999999</v>
      </c>
      <c r="AG21" s="11" t="s">
        <v>63</v>
      </c>
    </row>
    <row r="22" spans="1:33" x14ac:dyDescent="0.2">
      <c r="A22" s="8">
        <v>4804</v>
      </c>
      <c r="B22" s="9" t="s">
        <v>119</v>
      </c>
      <c r="C22" s="10">
        <v>43326</v>
      </c>
      <c r="D22" s="11">
        <v>70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122</v>
      </c>
      <c r="J22" s="12" t="s">
        <v>123</v>
      </c>
      <c r="K22" s="13" t="s">
        <v>70</v>
      </c>
      <c r="L22" s="11" t="str">
        <f>"000012"</f>
        <v>000012</v>
      </c>
      <c r="M22" s="10">
        <v>42887</v>
      </c>
      <c r="N22" s="11" t="str">
        <f>"000024"</f>
        <v>000024</v>
      </c>
      <c r="O22" s="10">
        <v>42916</v>
      </c>
      <c r="P22" s="11" t="str">
        <f>"000025"</f>
        <v>000025</v>
      </c>
      <c r="Q22" s="10">
        <v>42916</v>
      </c>
      <c r="R22" s="11">
        <v>17</v>
      </c>
      <c r="S22" s="11" t="str">
        <f>"005127"</f>
        <v>005127</v>
      </c>
      <c r="T22" s="10">
        <v>43325</v>
      </c>
      <c r="U22" s="14">
        <v>9.8868899999999993</v>
      </c>
      <c r="V22" s="14">
        <v>0.60309999999999997</v>
      </c>
      <c r="W22" s="14">
        <v>9.2837899999999998</v>
      </c>
      <c r="X22" s="11">
        <v>172</v>
      </c>
      <c r="Y22" s="10">
        <v>43326</v>
      </c>
      <c r="Z22" s="11">
        <v>9964168613</v>
      </c>
      <c r="AA22" s="12" t="s">
        <v>124</v>
      </c>
      <c r="AB22" s="11" t="s">
        <v>49</v>
      </c>
      <c r="AC22" s="12" t="s">
        <v>50</v>
      </c>
      <c r="AD22" s="11" t="s">
        <v>74</v>
      </c>
      <c r="AE22" s="12" t="s">
        <v>75</v>
      </c>
      <c r="AF22" s="14">
        <v>9.8868899999999996E-2</v>
      </c>
      <c r="AG22" s="11" t="s">
        <v>45</v>
      </c>
    </row>
    <row r="23" spans="1:33" x14ac:dyDescent="0.2">
      <c r="A23" s="8">
        <v>5244</v>
      </c>
      <c r="B23" s="9" t="s">
        <v>125</v>
      </c>
      <c r="C23" s="10">
        <v>43346</v>
      </c>
      <c r="D23" s="11">
        <v>70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126</v>
      </c>
      <c r="J23" s="12" t="s">
        <v>127</v>
      </c>
      <c r="K23" s="13" t="s">
        <v>70</v>
      </c>
      <c r="L23" s="11" t="str">
        <f>"00O026"</f>
        <v>00O026</v>
      </c>
      <c r="M23" s="10">
        <v>42537</v>
      </c>
      <c r="N23" s="11" t="str">
        <f>"000140"</f>
        <v>000140</v>
      </c>
      <c r="O23" s="10">
        <v>42825</v>
      </c>
      <c r="P23" s="11" t="str">
        <f>"000694"</f>
        <v>000694</v>
      </c>
      <c r="Q23" s="10">
        <v>42825</v>
      </c>
      <c r="R23" s="11">
        <v>16</v>
      </c>
      <c r="S23" s="11" t="str">
        <f>"005321"</f>
        <v>005321</v>
      </c>
      <c r="T23" s="10">
        <v>43333</v>
      </c>
      <c r="U23" s="14">
        <v>19.986930000000001</v>
      </c>
      <c r="V23" s="14">
        <v>2.6765099999999999</v>
      </c>
      <c r="W23" s="14">
        <v>17.310420000000001</v>
      </c>
      <c r="X23" s="11">
        <v>193</v>
      </c>
      <c r="Y23" s="10">
        <v>43346</v>
      </c>
      <c r="Z23" s="11">
        <v>9449219009</v>
      </c>
      <c r="AA23" s="12" t="s">
        <v>87</v>
      </c>
      <c r="AB23" s="11" t="s">
        <v>128</v>
      </c>
      <c r="AC23" s="12" t="s">
        <v>129</v>
      </c>
      <c r="AD23" s="11" t="s">
        <v>43</v>
      </c>
      <c r="AE23" s="12" t="s">
        <v>44</v>
      </c>
      <c r="AF23" s="14">
        <f t="shared" ref="AF23:AF65" si="0">U23/100</f>
        <v>0.1998693</v>
      </c>
      <c r="AG23" s="11" t="s">
        <v>45</v>
      </c>
    </row>
    <row r="24" spans="1:33" x14ac:dyDescent="0.2">
      <c r="A24" s="8">
        <v>5245</v>
      </c>
      <c r="B24" s="9" t="s">
        <v>125</v>
      </c>
      <c r="C24" s="10">
        <v>43346</v>
      </c>
      <c r="D24" s="11">
        <v>70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130</v>
      </c>
      <c r="J24" s="12" t="s">
        <v>131</v>
      </c>
      <c r="K24" s="13" t="s">
        <v>70</v>
      </c>
      <c r="L24" s="11" t="str">
        <f>"000030"</f>
        <v>000030</v>
      </c>
      <c r="M24" s="10">
        <v>42537</v>
      </c>
      <c r="N24" s="11" t="str">
        <f>"000139"</f>
        <v>000139</v>
      </c>
      <c r="O24" s="10">
        <v>42825</v>
      </c>
      <c r="P24" s="11" t="str">
        <f>"000695"</f>
        <v>000695</v>
      </c>
      <c r="Q24" s="10">
        <v>42825</v>
      </c>
      <c r="R24" s="11">
        <v>16</v>
      </c>
      <c r="S24" s="11" t="str">
        <f>"005322"</f>
        <v>005322</v>
      </c>
      <c r="T24" s="10">
        <v>43333</v>
      </c>
      <c r="U24" s="14">
        <v>19.991399999999999</v>
      </c>
      <c r="V24" s="14">
        <v>2.66709</v>
      </c>
      <c r="W24" s="14">
        <v>17.324310000000001</v>
      </c>
      <c r="X24" s="11">
        <v>193</v>
      </c>
      <c r="Y24" s="10">
        <v>43346</v>
      </c>
      <c r="Z24" s="11">
        <v>9449219009</v>
      </c>
      <c r="AA24" s="12" t="s">
        <v>87</v>
      </c>
      <c r="AB24" s="11" t="s">
        <v>128</v>
      </c>
      <c r="AC24" s="12" t="s">
        <v>129</v>
      </c>
      <c r="AD24" s="11" t="s">
        <v>43</v>
      </c>
      <c r="AE24" s="12" t="s">
        <v>44</v>
      </c>
      <c r="AF24" s="14">
        <f t="shared" si="0"/>
        <v>0.19991399999999998</v>
      </c>
      <c r="AG24" s="11" t="s">
        <v>45</v>
      </c>
    </row>
    <row r="25" spans="1:33" x14ac:dyDescent="0.2">
      <c r="A25" s="8">
        <v>5537</v>
      </c>
      <c r="B25" s="9" t="s">
        <v>125</v>
      </c>
      <c r="C25" s="10">
        <v>43362</v>
      </c>
      <c r="D25" s="11">
        <v>70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132</v>
      </c>
      <c r="J25" s="12" t="s">
        <v>133</v>
      </c>
      <c r="K25" s="13" t="s">
        <v>39</v>
      </c>
      <c r="L25" s="11" t="str">
        <f>"000124"</f>
        <v>000124</v>
      </c>
      <c r="M25" s="10">
        <v>43085</v>
      </c>
      <c r="N25" s="11" t="str">
        <f>"000041"</f>
        <v>000041</v>
      </c>
      <c r="O25" s="10">
        <v>43288</v>
      </c>
      <c r="P25" s="11" t="str">
        <f>"000154"</f>
        <v>000154</v>
      </c>
      <c r="Q25" s="10">
        <v>43314</v>
      </c>
      <c r="R25" s="11">
        <v>18</v>
      </c>
      <c r="S25" s="11" t="str">
        <f>"005793"</f>
        <v>005793</v>
      </c>
      <c r="T25" s="10">
        <v>43361</v>
      </c>
      <c r="U25" s="14">
        <v>24.99446</v>
      </c>
      <c r="V25" s="14">
        <v>2.1091899999999999</v>
      </c>
      <c r="W25" s="14">
        <v>22.885269999999998</v>
      </c>
      <c r="X25" s="11">
        <v>206</v>
      </c>
      <c r="Y25" s="10">
        <v>43362</v>
      </c>
      <c r="Z25" s="11">
        <v>9901908019</v>
      </c>
      <c r="AA25" s="12" t="s">
        <v>87</v>
      </c>
      <c r="AB25" s="11" t="s">
        <v>134</v>
      </c>
      <c r="AC25" s="12" t="s">
        <v>135</v>
      </c>
      <c r="AD25" s="11" t="s">
        <v>43</v>
      </c>
      <c r="AE25" s="12" t="s">
        <v>44</v>
      </c>
      <c r="AF25" s="14">
        <f t="shared" si="0"/>
        <v>0.24994459999999999</v>
      </c>
      <c r="AG25" s="11" t="s">
        <v>63</v>
      </c>
    </row>
    <row r="26" spans="1:33" x14ac:dyDescent="0.2">
      <c r="A26" s="8">
        <v>5660</v>
      </c>
      <c r="B26" s="9" t="s">
        <v>125</v>
      </c>
      <c r="C26" s="10">
        <v>43370</v>
      </c>
      <c r="D26" s="11">
        <v>70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136</v>
      </c>
      <c r="J26" s="12" t="s">
        <v>137</v>
      </c>
      <c r="K26" s="13" t="s">
        <v>138</v>
      </c>
      <c r="L26" s="11" t="str">
        <f>"000109"</f>
        <v>000109</v>
      </c>
      <c r="M26" s="10">
        <v>43077</v>
      </c>
      <c r="N26" s="11" t="str">
        <f>"000043"</f>
        <v>000043</v>
      </c>
      <c r="O26" s="10">
        <v>43291</v>
      </c>
      <c r="P26" s="11" t="str">
        <f>"000151"</f>
        <v>000151</v>
      </c>
      <c r="Q26" s="10">
        <v>43309</v>
      </c>
      <c r="R26" s="11">
        <v>17</v>
      </c>
      <c r="S26" s="11" t="str">
        <f>"006001"</f>
        <v>006001</v>
      </c>
      <c r="T26" s="10">
        <v>43369</v>
      </c>
      <c r="U26" s="14">
        <v>9.8927399999999999</v>
      </c>
      <c r="V26" s="14">
        <v>0.20774999999999999</v>
      </c>
      <c r="W26" s="14">
        <v>9.6849900000000009</v>
      </c>
      <c r="X26" s="11">
        <v>214</v>
      </c>
      <c r="Y26" s="10">
        <v>43370</v>
      </c>
      <c r="Z26" s="11">
        <v>9900175940</v>
      </c>
      <c r="AA26" s="12" t="s">
        <v>139</v>
      </c>
      <c r="AB26" s="11" t="s">
        <v>80</v>
      </c>
      <c r="AC26" s="12" t="s">
        <v>81</v>
      </c>
      <c r="AD26" s="11" t="s">
        <v>43</v>
      </c>
      <c r="AE26" s="12" t="s">
        <v>44</v>
      </c>
      <c r="AF26" s="14">
        <f t="shared" si="0"/>
        <v>9.8927399999999999E-2</v>
      </c>
      <c r="AG26" s="11" t="s">
        <v>63</v>
      </c>
    </row>
    <row r="27" spans="1:33" x14ac:dyDescent="0.2">
      <c r="A27" s="8">
        <v>6070</v>
      </c>
      <c r="B27" s="9" t="s">
        <v>140</v>
      </c>
      <c r="C27" s="10">
        <v>43385</v>
      </c>
      <c r="D27" s="11">
        <v>70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141</v>
      </c>
      <c r="J27" s="12" t="s">
        <v>142</v>
      </c>
      <c r="K27" s="13" t="s">
        <v>70</v>
      </c>
      <c r="L27" s="11" t="str">
        <f>"000323"</f>
        <v>000323</v>
      </c>
      <c r="M27" s="10">
        <v>42089</v>
      </c>
      <c r="N27" s="11" t="str">
        <f>"000296"</f>
        <v>000296</v>
      </c>
      <c r="O27" s="10">
        <v>42185</v>
      </c>
      <c r="P27" s="11" t="str">
        <f>"000153"</f>
        <v>000153</v>
      </c>
      <c r="Q27" s="10">
        <v>42219</v>
      </c>
      <c r="R27" s="11">
        <v>15</v>
      </c>
      <c r="S27" s="11" t="str">
        <f>"002402"</f>
        <v>002402</v>
      </c>
      <c r="T27" s="10">
        <v>42885</v>
      </c>
      <c r="U27" s="14">
        <v>9.6459200000000003</v>
      </c>
      <c r="V27" s="14">
        <v>0.77310000000000001</v>
      </c>
      <c r="W27" s="14">
        <v>8.8728200000000008</v>
      </c>
      <c r="X27" s="11">
        <v>230</v>
      </c>
      <c r="Y27" s="10">
        <v>43385</v>
      </c>
      <c r="Z27" s="11">
        <v>9448736905</v>
      </c>
      <c r="AA27" s="12" t="s">
        <v>143</v>
      </c>
      <c r="AB27" s="11" t="s">
        <v>49</v>
      </c>
      <c r="AC27" s="12" t="s">
        <v>50</v>
      </c>
      <c r="AD27" s="11" t="s">
        <v>43</v>
      </c>
      <c r="AE27" s="12" t="s">
        <v>44</v>
      </c>
      <c r="AF27" s="14">
        <f t="shared" si="0"/>
        <v>9.6459200000000009E-2</v>
      </c>
      <c r="AG27" s="11" t="s">
        <v>45</v>
      </c>
    </row>
    <row r="28" spans="1:33" x14ac:dyDescent="0.2">
      <c r="A28" s="8">
        <v>6071</v>
      </c>
      <c r="B28" s="9" t="s">
        <v>140</v>
      </c>
      <c r="C28" s="10">
        <v>43385</v>
      </c>
      <c r="D28" s="11">
        <v>70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144</v>
      </c>
      <c r="J28" s="12" t="s">
        <v>145</v>
      </c>
      <c r="K28" s="13" t="s">
        <v>70</v>
      </c>
      <c r="L28" s="11" t="str">
        <f>"000046"</f>
        <v>000046</v>
      </c>
      <c r="M28" s="10">
        <v>42453</v>
      </c>
      <c r="N28" s="11" t="str">
        <f>"000040"</f>
        <v>000040</v>
      </c>
      <c r="O28" s="10">
        <v>42581</v>
      </c>
      <c r="P28" s="11" t="str">
        <f>"000352"</f>
        <v>000352</v>
      </c>
      <c r="Q28" s="10">
        <v>42586</v>
      </c>
      <c r="R28" s="11">
        <v>16</v>
      </c>
      <c r="S28" s="11" t="str">
        <f>"006091"</f>
        <v>006091</v>
      </c>
      <c r="T28" s="10">
        <v>43374</v>
      </c>
      <c r="U28" s="14">
        <v>8.9981600000000004</v>
      </c>
      <c r="V28" s="14">
        <v>0.68572999999999995</v>
      </c>
      <c r="W28" s="14">
        <v>8.3124300000000009</v>
      </c>
      <c r="X28" s="11">
        <v>231</v>
      </c>
      <c r="Y28" s="10">
        <v>43385</v>
      </c>
      <c r="Z28" s="11">
        <v>9889219009</v>
      </c>
      <c r="AA28" s="12" t="s">
        <v>146</v>
      </c>
      <c r="AB28" s="11" t="s">
        <v>49</v>
      </c>
      <c r="AC28" s="12" t="s">
        <v>50</v>
      </c>
      <c r="AD28" s="11" t="s">
        <v>43</v>
      </c>
      <c r="AE28" s="12" t="s">
        <v>44</v>
      </c>
      <c r="AF28" s="14">
        <f t="shared" si="0"/>
        <v>8.9981600000000009E-2</v>
      </c>
      <c r="AG28" s="11" t="s">
        <v>45</v>
      </c>
    </row>
    <row r="29" spans="1:33" x14ac:dyDescent="0.2">
      <c r="A29" s="8">
        <v>6547</v>
      </c>
      <c r="B29" s="9" t="s">
        <v>140</v>
      </c>
      <c r="C29" s="10">
        <v>43389</v>
      </c>
      <c r="D29" s="11">
        <v>70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147</v>
      </c>
      <c r="J29" s="12" t="s">
        <v>148</v>
      </c>
      <c r="K29" s="13" t="s">
        <v>54</v>
      </c>
      <c r="L29" s="11" t="str">
        <f>"000015"</f>
        <v>000015</v>
      </c>
      <c r="M29" s="10">
        <v>42957</v>
      </c>
      <c r="N29" s="11" t="str">
        <f>"000009"</f>
        <v>000009</v>
      </c>
      <c r="O29" s="10">
        <v>43096</v>
      </c>
      <c r="P29" s="11" t="str">
        <f>"000072"</f>
        <v>000072</v>
      </c>
      <c r="Q29" s="10">
        <v>43098</v>
      </c>
      <c r="R29" s="11">
        <v>17</v>
      </c>
      <c r="S29" s="11" t="str">
        <f>"006648"</f>
        <v>006648</v>
      </c>
      <c r="T29" s="10">
        <v>43385</v>
      </c>
      <c r="U29" s="14">
        <v>39.621670000000002</v>
      </c>
      <c r="V29" s="14">
        <v>3.2093500000000001</v>
      </c>
      <c r="W29" s="14">
        <v>36.412320000000001</v>
      </c>
      <c r="X29" s="11">
        <v>241</v>
      </c>
      <c r="Y29" s="10">
        <v>43389</v>
      </c>
      <c r="Z29" s="11">
        <v>944821012</v>
      </c>
      <c r="AA29" s="12" t="s">
        <v>87</v>
      </c>
      <c r="AB29" s="11" t="s">
        <v>56</v>
      </c>
      <c r="AC29" s="12" t="s">
        <v>57</v>
      </c>
      <c r="AD29" s="11" t="s">
        <v>43</v>
      </c>
      <c r="AE29" s="12" t="s">
        <v>44</v>
      </c>
      <c r="AF29" s="14">
        <f t="shared" si="0"/>
        <v>0.39621670000000003</v>
      </c>
      <c r="AG29" s="11" t="s">
        <v>45</v>
      </c>
    </row>
    <row r="30" spans="1:33" x14ac:dyDescent="0.2">
      <c r="A30" s="8">
        <v>6928</v>
      </c>
      <c r="B30" s="9" t="s">
        <v>140</v>
      </c>
      <c r="C30" s="10">
        <v>43402</v>
      </c>
      <c r="D30" s="11">
        <v>70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149</v>
      </c>
      <c r="J30" s="12" t="s">
        <v>150</v>
      </c>
      <c r="K30" s="13" t="s">
        <v>39</v>
      </c>
      <c r="L30" s="11" t="str">
        <f>"000017"</f>
        <v>000017</v>
      </c>
      <c r="M30" s="10">
        <v>43374</v>
      </c>
      <c r="N30" s="11" t="str">
        <f>"000030"</f>
        <v>000030</v>
      </c>
      <c r="O30" s="10">
        <v>43419</v>
      </c>
      <c r="P30" s="11" t="str">
        <f>"000029"</f>
        <v>000029</v>
      </c>
      <c r="Q30" s="10">
        <v>43421</v>
      </c>
      <c r="R30" s="11">
        <v>18</v>
      </c>
      <c r="S30" s="11" t="str">
        <f>"008360"</f>
        <v>008360</v>
      </c>
      <c r="T30" s="10">
        <v>43463</v>
      </c>
      <c r="U30" s="14">
        <v>96.309579999999997</v>
      </c>
      <c r="V30" s="14">
        <v>10.52749</v>
      </c>
      <c r="W30" s="14">
        <v>85.782089999999997</v>
      </c>
      <c r="X30" s="11">
        <v>252</v>
      </c>
      <c r="Y30" s="10">
        <v>43402</v>
      </c>
      <c r="Z30" s="11">
        <v>8553960114</v>
      </c>
      <c r="AA30" s="12" t="s">
        <v>151</v>
      </c>
      <c r="AB30" s="11" t="s">
        <v>152</v>
      </c>
      <c r="AC30" s="12" t="s">
        <v>153</v>
      </c>
      <c r="AD30" s="11" t="s">
        <v>154</v>
      </c>
      <c r="AE30" s="12" t="s">
        <v>155</v>
      </c>
      <c r="AF30" s="14">
        <f t="shared" si="0"/>
        <v>0.96309579999999995</v>
      </c>
      <c r="AG30" s="11" t="s">
        <v>156</v>
      </c>
    </row>
    <row r="31" spans="1:33" x14ac:dyDescent="0.2">
      <c r="A31" s="8">
        <v>6929</v>
      </c>
      <c r="B31" s="9" t="s">
        <v>140</v>
      </c>
      <c r="C31" s="10">
        <v>43402</v>
      </c>
      <c r="D31" s="11">
        <v>70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157</v>
      </c>
      <c r="J31" s="12" t="s">
        <v>158</v>
      </c>
      <c r="K31" s="13" t="s">
        <v>39</v>
      </c>
      <c r="L31" s="11" t="str">
        <f>"000014"</f>
        <v>000014</v>
      </c>
      <c r="M31" s="10">
        <v>43358</v>
      </c>
      <c r="N31" s="11" t="str">
        <f>"000034"</f>
        <v>000034</v>
      </c>
      <c r="O31" s="10">
        <v>43423</v>
      </c>
      <c r="P31" s="11" t="str">
        <f>"000031"</f>
        <v>000031</v>
      </c>
      <c r="Q31" s="10">
        <v>43424</v>
      </c>
      <c r="R31" s="11">
        <v>18</v>
      </c>
      <c r="S31" s="11" t="str">
        <f>"008419"</f>
        <v>008419</v>
      </c>
      <c r="T31" s="10">
        <v>43463</v>
      </c>
      <c r="U31" s="14">
        <v>96.827470000000005</v>
      </c>
      <c r="V31" s="14">
        <v>10.64148</v>
      </c>
      <c r="W31" s="14">
        <v>86.185990000000004</v>
      </c>
      <c r="X31" s="11">
        <v>252</v>
      </c>
      <c r="Y31" s="10">
        <v>43402</v>
      </c>
      <c r="Z31" s="11">
        <v>9972999991</v>
      </c>
      <c r="AA31" s="12" t="s">
        <v>159</v>
      </c>
      <c r="AB31" s="11" t="s">
        <v>152</v>
      </c>
      <c r="AC31" s="12" t="s">
        <v>153</v>
      </c>
      <c r="AD31" s="11" t="s">
        <v>154</v>
      </c>
      <c r="AE31" s="12" t="s">
        <v>155</v>
      </c>
      <c r="AF31" s="14">
        <f t="shared" si="0"/>
        <v>0.96827470000000004</v>
      </c>
      <c r="AG31" s="11" t="s">
        <v>156</v>
      </c>
    </row>
    <row r="32" spans="1:33" x14ac:dyDescent="0.2">
      <c r="A32" s="8">
        <v>6930</v>
      </c>
      <c r="B32" s="9" t="s">
        <v>140</v>
      </c>
      <c r="C32" s="10">
        <v>43402</v>
      </c>
      <c r="D32" s="11">
        <v>70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160</v>
      </c>
      <c r="J32" s="12" t="s">
        <v>161</v>
      </c>
      <c r="K32" s="13" t="s">
        <v>39</v>
      </c>
      <c r="L32" s="11" t="str">
        <f>"000019"</f>
        <v>000019</v>
      </c>
      <c r="M32" s="10">
        <v>43388</v>
      </c>
      <c r="N32" s="11" t="str">
        <f>"000021"</f>
        <v>000021</v>
      </c>
      <c r="O32" s="10">
        <v>43389</v>
      </c>
      <c r="P32" s="11" t="str">
        <f>"000022"</f>
        <v>000022</v>
      </c>
      <c r="Q32" s="10">
        <v>43389</v>
      </c>
      <c r="R32" s="11">
        <v>18</v>
      </c>
      <c r="S32" s="11" t="str">
        <f>"007079"</f>
        <v>007079</v>
      </c>
      <c r="T32" s="10">
        <v>43400</v>
      </c>
      <c r="U32" s="14">
        <v>83.200180000000003</v>
      </c>
      <c r="V32" s="14">
        <v>8.9567999999999994</v>
      </c>
      <c r="W32" s="14">
        <v>74.243380000000002</v>
      </c>
      <c r="X32" s="11">
        <v>252</v>
      </c>
      <c r="Y32" s="10">
        <v>43402</v>
      </c>
      <c r="Z32" s="11">
        <v>9972999991</v>
      </c>
      <c r="AA32" s="12" t="s">
        <v>159</v>
      </c>
      <c r="AB32" s="11" t="s">
        <v>152</v>
      </c>
      <c r="AC32" s="12" t="s">
        <v>153</v>
      </c>
      <c r="AD32" s="11" t="s">
        <v>154</v>
      </c>
      <c r="AE32" s="12" t="s">
        <v>155</v>
      </c>
      <c r="AF32" s="14">
        <f t="shared" si="0"/>
        <v>0.83200180000000001</v>
      </c>
      <c r="AG32" s="11" t="s">
        <v>156</v>
      </c>
    </row>
    <row r="33" spans="1:33" x14ac:dyDescent="0.2">
      <c r="A33" s="8">
        <v>6931</v>
      </c>
      <c r="B33" s="9" t="s">
        <v>140</v>
      </c>
      <c r="C33" s="10">
        <v>43402</v>
      </c>
      <c r="D33" s="11">
        <v>70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162</v>
      </c>
      <c r="J33" s="12" t="s">
        <v>163</v>
      </c>
      <c r="K33" s="13" t="s">
        <v>39</v>
      </c>
      <c r="L33" s="11" t="str">
        <f>"000020"</f>
        <v>000020</v>
      </c>
      <c r="M33" s="10">
        <v>43388</v>
      </c>
      <c r="N33" s="11" t="str">
        <f>"000025"</f>
        <v>000025</v>
      </c>
      <c r="O33" s="10">
        <v>43389</v>
      </c>
      <c r="P33" s="11" t="str">
        <f>"000023"</f>
        <v>000023</v>
      </c>
      <c r="Q33" s="10">
        <v>43389</v>
      </c>
      <c r="R33" s="11">
        <v>18</v>
      </c>
      <c r="S33" s="11" t="str">
        <f>"007080"</f>
        <v>007080</v>
      </c>
      <c r="T33" s="10">
        <v>43400</v>
      </c>
      <c r="U33" s="14">
        <v>126.51712999999999</v>
      </c>
      <c r="V33" s="14">
        <v>13.927429999999999</v>
      </c>
      <c r="W33" s="14">
        <v>112.58969999999999</v>
      </c>
      <c r="X33" s="11">
        <v>252</v>
      </c>
      <c r="Y33" s="10">
        <v>43402</v>
      </c>
      <c r="Z33" s="11">
        <v>9972999991</v>
      </c>
      <c r="AA33" s="12" t="s">
        <v>159</v>
      </c>
      <c r="AB33" s="11" t="s">
        <v>152</v>
      </c>
      <c r="AC33" s="12" t="s">
        <v>153</v>
      </c>
      <c r="AD33" s="11" t="s">
        <v>154</v>
      </c>
      <c r="AE33" s="12" t="s">
        <v>155</v>
      </c>
      <c r="AF33" s="14">
        <f t="shared" si="0"/>
        <v>1.2651713</v>
      </c>
      <c r="AG33" s="11" t="s">
        <v>156</v>
      </c>
    </row>
    <row r="34" spans="1:33" x14ac:dyDescent="0.2">
      <c r="A34" s="8">
        <v>6932</v>
      </c>
      <c r="B34" s="9" t="s">
        <v>140</v>
      </c>
      <c r="C34" s="10">
        <v>43402</v>
      </c>
      <c r="D34" s="11">
        <v>70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164</v>
      </c>
      <c r="J34" s="12" t="s">
        <v>165</v>
      </c>
      <c r="K34" s="13" t="s">
        <v>39</v>
      </c>
      <c r="L34" s="11" t="str">
        <f>"000012"</f>
        <v>000012</v>
      </c>
      <c r="M34" s="10">
        <v>43350</v>
      </c>
      <c r="N34" s="11" t="str">
        <f>"000033"</f>
        <v>000033</v>
      </c>
      <c r="O34" s="10">
        <v>43423</v>
      </c>
      <c r="P34" s="11" t="str">
        <f>"000032"</f>
        <v>000032</v>
      </c>
      <c r="Q34" s="10">
        <v>43424</v>
      </c>
      <c r="R34" s="11">
        <v>18</v>
      </c>
      <c r="S34" s="11" t="str">
        <f>"008421"</f>
        <v>008421</v>
      </c>
      <c r="T34" s="10">
        <v>43463</v>
      </c>
      <c r="U34" s="14">
        <v>123.36837</v>
      </c>
      <c r="V34" s="14">
        <v>13.490170000000001</v>
      </c>
      <c r="W34" s="14">
        <v>109.87820000000001</v>
      </c>
      <c r="X34" s="11">
        <v>252</v>
      </c>
      <c r="Y34" s="10">
        <v>43402</v>
      </c>
      <c r="Z34" s="11">
        <v>9972999991</v>
      </c>
      <c r="AA34" s="12" t="s">
        <v>159</v>
      </c>
      <c r="AB34" s="11" t="s">
        <v>152</v>
      </c>
      <c r="AC34" s="12" t="s">
        <v>153</v>
      </c>
      <c r="AD34" s="11" t="s">
        <v>154</v>
      </c>
      <c r="AE34" s="12" t="s">
        <v>155</v>
      </c>
      <c r="AF34" s="14">
        <f t="shared" si="0"/>
        <v>1.2336837</v>
      </c>
      <c r="AG34" s="11" t="s">
        <v>156</v>
      </c>
    </row>
    <row r="35" spans="1:33" x14ac:dyDescent="0.2">
      <c r="A35" s="8">
        <v>6988</v>
      </c>
      <c r="B35" s="9" t="s">
        <v>140</v>
      </c>
      <c r="C35" s="10">
        <v>43403</v>
      </c>
      <c r="D35" s="11">
        <v>70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166</v>
      </c>
      <c r="J35" s="12" t="s">
        <v>167</v>
      </c>
      <c r="K35" s="13" t="s">
        <v>70</v>
      </c>
      <c r="L35" s="11" t="str">
        <f>"000074"</f>
        <v>000074</v>
      </c>
      <c r="M35" s="10">
        <v>42870</v>
      </c>
      <c r="N35" s="11" t="str">
        <f>"000004"</f>
        <v>000004</v>
      </c>
      <c r="O35" s="10">
        <v>42993</v>
      </c>
      <c r="P35" s="11" t="str">
        <f>"000016"</f>
        <v>000016</v>
      </c>
      <c r="Q35" s="10">
        <v>42997</v>
      </c>
      <c r="R35" s="11">
        <v>17</v>
      </c>
      <c r="S35" s="11" t="str">
        <f>"006956"</f>
        <v>006956</v>
      </c>
      <c r="T35" s="10">
        <v>43399</v>
      </c>
      <c r="U35" s="14">
        <v>17.533799999999999</v>
      </c>
      <c r="V35" s="14">
        <v>0.36820999999999998</v>
      </c>
      <c r="W35" s="14">
        <v>17.165590000000002</v>
      </c>
      <c r="X35" s="11">
        <v>253</v>
      </c>
      <c r="Y35" s="10">
        <v>43403</v>
      </c>
      <c r="Z35" s="11">
        <v>9986020978</v>
      </c>
      <c r="AA35" s="12" t="s">
        <v>168</v>
      </c>
      <c r="AB35" s="11" t="s">
        <v>49</v>
      </c>
      <c r="AC35" s="12" t="s">
        <v>50</v>
      </c>
      <c r="AD35" s="11" t="s">
        <v>43</v>
      </c>
      <c r="AE35" s="12" t="s">
        <v>44</v>
      </c>
      <c r="AF35" s="14">
        <f t="shared" si="0"/>
        <v>0.17533799999999999</v>
      </c>
      <c r="AG35" s="11" t="s">
        <v>45</v>
      </c>
    </row>
    <row r="36" spans="1:33" x14ac:dyDescent="0.2">
      <c r="A36" s="8">
        <v>8128</v>
      </c>
      <c r="B36" s="9" t="s">
        <v>169</v>
      </c>
      <c r="C36" s="10">
        <v>43466</v>
      </c>
      <c r="D36" s="11">
        <v>70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170</v>
      </c>
      <c r="J36" s="12" t="s">
        <v>171</v>
      </c>
      <c r="K36" s="13" t="s">
        <v>39</v>
      </c>
      <c r="L36" s="11" t="str">
        <f>"000025"</f>
        <v>000025</v>
      </c>
      <c r="M36" s="10">
        <v>43389</v>
      </c>
      <c r="N36" s="11" t="str">
        <f>"000022"</f>
        <v>000022</v>
      </c>
      <c r="O36" s="10">
        <v>43389</v>
      </c>
      <c r="P36" s="11" t="str">
        <f>"000021"</f>
        <v>000021</v>
      </c>
      <c r="Q36" s="10">
        <v>43389</v>
      </c>
      <c r="R36" s="11"/>
      <c r="S36" s="11" t="str">
        <f>"008272"</f>
        <v>008272</v>
      </c>
      <c r="T36" s="10">
        <v>43461</v>
      </c>
      <c r="U36" s="14">
        <v>132.38945000000001</v>
      </c>
      <c r="V36" s="14">
        <v>15.598179999999999</v>
      </c>
      <c r="W36" s="14">
        <v>116.79127</v>
      </c>
      <c r="X36" s="11">
        <v>308</v>
      </c>
      <c r="Y36" s="10">
        <v>43466</v>
      </c>
      <c r="Z36" s="11">
        <v>9972999991</v>
      </c>
      <c r="AA36" s="12" t="s">
        <v>159</v>
      </c>
      <c r="AB36" s="11" t="s">
        <v>152</v>
      </c>
      <c r="AC36" s="12" t="s">
        <v>153</v>
      </c>
      <c r="AD36" s="11" t="s">
        <v>154</v>
      </c>
      <c r="AE36" s="12" t="s">
        <v>155</v>
      </c>
      <c r="AF36" s="14">
        <f t="shared" si="0"/>
        <v>1.3238945000000002</v>
      </c>
      <c r="AG36" s="11" t="s">
        <v>156</v>
      </c>
    </row>
    <row r="37" spans="1:33" x14ac:dyDescent="0.2">
      <c r="A37" s="8">
        <v>8199</v>
      </c>
      <c r="B37" s="9" t="s">
        <v>169</v>
      </c>
      <c r="C37" s="10">
        <v>43466</v>
      </c>
      <c r="D37" s="11">
        <v>70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172</v>
      </c>
      <c r="J37" s="12" t="s">
        <v>173</v>
      </c>
      <c r="K37" s="13" t="s">
        <v>39</v>
      </c>
      <c r="L37" s="11" t="str">
        <f>"000030"</f>
        <v>000030</v>
      </c>
      <c r="M37" s="10">
        <v>43419</v>
      </c>
      <c r="N37" s="11" t="str">
        <f>"000029"</f>
        <v>000029</v>
      </c>
      <c r="O37" s="10">
        <v>43419</v>
      </c>
      <c r="P37" s="11" t="str">
        <f>"000028"</f>
        <v>000028</v>
      </c>
      <c r="Q37" s="10">
        <v>43419</v>
      </c>
      <c r="R37" s="11"/>
      <c r="S37" s="11" t="str">
        <f>"008348"</f>
        <v>008348</v>
      </c>
      <c r="T37" s="10">
        <v>43462</v>
      </c>
      <c r="U37" s="14">
        <v>70.481660000000005</v>
      </c>
      <c r="V37" s="14">
        <v>8.0117600000000007</v>
      </c>
      <c r="W37" s="14">
        <v>62.469900000000003</v>
      </c>
      <c r="X37" s="11">
        <v>309</v>
      </c>
      <c r="Y37" s="10">
        <v>43466</v>
      </c>
      <c r="Z37" s="11">
        <v>701975334</v>
      </c>
      <c r="AA37" s="12" t="s">
        <v>159</v>
      </c>
      <c r="AB37" s="11" t="s">
        <v>152</v>
      </c>
      <c r="AC37" s="12" t="s">
        <v>153</v>
      </c>
      <c r="AD37" s="11" t="s">
        <v>154</v>
      </c>
      <c r="AE37" s="12" t="s">
        <v>155</v>
      </c>
      <c r="AF37" s="14">
        <f t="shared" si="0"/>
        <v>0.70481660000000002</v>
      </c>
      <c r="AG37" s="11" t="s">
        <v>156</v>
      </c>
    </row>
    <row r="38" spans="1:33" x14ac:dyDescent="0.2">
      <c r="A38" s="8">
        <v>8211</v>
      </c>
      <c r="B38" s="9" t="s">
        <v>169</v>
      </c>
      <c r="C38" s="10">
        <v>43466</v>
      </c>
      <c r="D38" s="11">
        <v>70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149</v>
      </c>
      <c r="J38" s="12" t="s">
        <v>150</v>
      </c>
      <c r="K38" s="13" t="s">
        <v>39</v>
      </c>
      <c r="L38" s="11" t="str">
        <f>"000017"</f>
        <v>000017</v>
      </c>
      <c r="M38" s="10">
        <v>43374</v>
      </c>
      <c r="N38" s="11" t="str">
        <f>"000030"</f>
        <v>000030</v>
      </c>
      <c r="O38" s="10">
        <v>43419</v>
      </c>
      <c r="P38" s="11" t="str">
        <f>"000029"</f>
        <v>000029</v>
      </c>
      <c r="Q38" s="10">
        <v>43421</v>
      </c>
      <c r="R38" s="11"/>
      <c r="S38" s="11" t="str">
        <f>"008360"</f>
        <v>008360</v>
      </c>
      <c r="T38" s="10">
        <v>43463</v>
      </c>
      <c r="U38" s="14">
        <v>52.716889999999999</v>
      </c>
      <c r="V38" s="14">
        <v>6.2164999999999999</v>
      </c>
      <c r="W38" s="14">
        <v>46.500390000000003</v>
      </c>
      <c r="X38" s="11">
        <v>309</v>
      </c>
      <c r="Y38" s="10">
        <v>43466</v>
      </c>
      <c r="Z38" s="11">
        <v>8553960114</v>
      </c>
      <c r="AA38" s="12" t="s">
        <v>151</v>
      </c>
      <c r="AB38" s="11" t="s">
        <v>152</v>
      </c>
      <c r="AC38" s="12" t="s">
        <v>153</v>
      </c>
      <c r="AD38" s="11" t="s">
        <v>154</v>
      </c>
      <c r="AE38" s="12" t="s">
        <v>155</v>
      </c>
      <c r="AF38" s="14">
        <f t="shared" si="0"/>
        <v>0.52716889999999994</v>
      </c>
      <c r="AG38" s="11" t="s">
        <v>156</v>
      </c>
    </row>
    <row r="39" spans="1:33" x14ac:dyDescent="0.2">
      <c r="A39" s="8">
        <v>8268</v>
      </c>
      <c r="B39" s="9" t="s">
        <v>169</v>
      </c>
      <c r="C39" s="10">
        <v>43466</v>
      </c>
      <c r="D39" s="11">
        <v>70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157</v>
      </c>
      <c r="J39" s="12" t="s">
        <v>158</v>
      </c>
      <c r="K39" s="13" t="s">
        <v>39</v>
      </c>
      <c r="L39" s="11" t="str">
        <f>"000014"</f>
        <v>000014</v>
      </c>
      <c r="M39" s="10">
        <v>43358</v>
      </c>
      <c r="N39" s="11" t="str">
        <f>"000034"</f>
        <v>000034</v>
      </c>
      <c r="O39" s="10">
        <v>43423</v>
      </c>
      <c r="P39" s="11" t="str">
        <f>"000031"</f>
        <v>000031</v>
      </c>
      <c r="Q39" s="10">
        <v>43424</v>
      </c>
      <c r="R39" s="11"/>
      <c r="S39" s="11" t="str">
        <f>"008419"</f>
        <v>008419</v>
      </c>
      <c r="T39" s="10">
        <v>43463</v>
      </c>
      <c r="U39" s="14">
        <v>4.9850000000000003</v>
      </c>
      <c r="V39" s="14">
        <v>0.59819999999999995</v>
      </c>
      <c r="W39" s="14">
        <v>4.3868</v>
      </c>
      <c r="X39" s="11">
        <v>309</v>
      </c>
      <c r="Y39" s="10">
        <v>43466</v>
      </c>
      <c r="Z39" s="11">
        <v>9900161466</v>
      </c>
      <c r="AA39" s="12" t="s">
        <v>174</v>
      </c>
      <c r="AB39" s="11" t="s">
        <v>152</v>
      </c>
      <c r="AC39" s="12" t="s">
        <v>153</v>
      </c>
      <c r="AD39" s="11" t="s">
        <v>154</v>
      </c>
      <c r="AE39" s="12" t="s">
        <v>155</v>
      </c>
      <c r="AF39" s="14">
        <f t="shared" si="0"/>
        <v>4.9850000000000005E-2</v>
      </c>
      <c r="AG39" s="11" t="s">
        <v>156</v>
      </c>
    </row>
    <row r="40" spans="1:33" x14ac:dyDescent="0.2">
      <c r="A40" s="8">
        <v>8269</v>
      </c>
      <c r="B40" s="9" t="s">
        <v>169</v>
      </c>
      <c r="C40" s="10">
        <v>43466</v>
      </c>
      <c r="D40" s="11">
        <v>70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164</v>
      </c>
      <c r="J40" s="12" t="s">
        <v>165</v>
      </c>
      <c r="K40" s="13" t="s">
        <v>39</v>
      </c>
      <c r="L40" s="11" t="str">
        <f>"000012"</f>
        <v>000012</v>
      </c>
      <c r="M40" s="10">
        <v>43350</v>
      </c>
      <c r="N40" s="11" t="str">
        <f>"000033"</f>
        <v>000033</v>
      </c>
      <c r="O40" s="10">
        <v>43423</v>
      </c>
      <c r="P40" s="11" t="str">
        <f>"000032"</f>
        <v>000032</v>
      </c>
      <c r="Q40" s="10">
        <v>43424</v>
      </c>
      <c r="R40" s="11"/>
      <c r="S40" s="11" t="str">
        <f>"008421"</f>
        <v>008421</v>
      </c>
      <c r="T40" s="10">
        <v>43463</v>
      </c>
      <c r="U40" s="14">
        <v>4.9020000000000001</v>
      </c>
      <c r="V40" s="14">
        <v>0.58823999999999999</v>
      </c>
      <c r="W40" s="14">
        <v>4.3137600000000003</v>
      </c>
      <c r="X40" s="11">
        <v>309</v>
      </c>
      <c r="Y40" s="10">
        <v>43466</v>
      </c>
      <c r="Z40" s="11">
        <v>9900161466</v>
      </c>
      <c r="AA40" s="12" t="s">
        <v>175</v>
      </c>
      <c r="AB40" s="11" t="s">
        <v>152</v>
      </c>
      <c r="AC40" s="12" t="s">
        <v>153</v>
      </c>
      <c r="AD40" s="11" t="s">
        <v>154</v>
      </c>
      <c r="AE40" s="12" t="s">
        <v>155</v>
      </c>
      <c r="AF40" s="14">
        <f t="shared" si="0"/>
        <v>4.9020000000000001E-2</v>
      </c>
      <c r="AG40" s="11" t="s">
        <v>156</v>
      </c>
    </row>
    <row r="41" spans="1:33" x14ac:dyDescent="0.2">
      <c r="A41" s="8">
        <v>8274</v>
      </c>
      <c r="B41" s="9" t="s">
        <v>169</v>
      </c>
      <c r="C41" s="10">
        <v>43466</v>
      </c>
      <c r="D41" s="11">
        <v>70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176</v>
      </c>
      <c r="J41" s="12" t="s">
        <v>177</v>
      </c>
      <c r="K41" s="13" t="s">
        <v>39</v>
      </c>
      <c r="L41" s="11" t="str">
        <f>"000031"</f>
        <v>000031</v>
      </c>
      <c r="M41" s="10">
        <v>43428</v>
      </c>
      <c r="N41" s="11" t="str">
        <f>"000035"</f>
        <v>000035</v>
      </c>
      <c r="O41" s="10">
        <v>43428</v>
      </c>
      <c r="P41" s="11" t="str">
        <f>"000034"</f>
        <v>000034</v>
      </c>
      <c r="Q41" s="10">
        <v>43431</v>
      </c>
      <c r="R41" s="11"/>
      <c r="S41" s="11" t="str">
        <f>"008427"</f>
        <v>008427</v>
      </c>
      <c r="T41" s="10">
        <v>43463</v>
      </c>
      <c r="U41" s="14">
        <v>125.88267</v>
      </c>
      <c r="V41" s="14">
        <v>15.39439</v>
      </c>
      <c r="W41" s="14">
        <v>110.48828</v>
      </c>
      <c r="X41" s="11">
        <v>309</v>
      </c>
      <c r="Y41" s="10">
        <v>43466</v>
      </c>
      <c r="Z41" s="11">
        <v>9972111113</v>
      </c>
      <c r="AA41" s="12" t="s">
        <v>178</v>
      </c>
      <c r="AB41" s="11" t="s">
        <v>152</v>
      </c>
      <c r="AC41" s="12" t="s">
        <v>153</v>
      </c>
      <c r="AD41" s="11" t="s">
        <v>154</v>
      </c>
      <c r="AE41" s="12" t="s">
        <v>155</v>
      </c>
      <c r="AF41" s="14">
        <f t="shared" si="0"/>
        <v>1.2588267</v>
      </c>
      <c r="AG41" s="11" t="s">
        <v>156</v>
      </c>
    </row>
    <row r="42" spans="1:33" x14ac:dyDescent="0.2">
      <c r="A42" s="8">
        <v>8554</v>
      </c>
      <c r="B42" s="9" t="s">
        <v>169</v>
      </c>
      <c r="C42" s="10">
        <v>43475</v>
      </c>
      <c r="D42" s="11">
        <v>70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179</v>
      </c>
      <c r="J42" s="12" t="s">
        <v>180</v>
      </c>
      <c r="K42" s="13" t="s">
        <v>70</v>
      </c>
      <c r="L42" s="11" t="str">
        <f>"00O028"</f>
        <v>00O028</v>
      </c>
      <c r="M42" s="10">
        <v>42537</v>
      </c>
      <c r="N42" s="11" t="str">
        <f>"000009"</f>
        <v>000009</v>
      </c>
      <c r="O42" s="10">
        <v>42881</v>
      </c>
      <c r="P42" s="11" t="str">
        <f>"000063"</f>
        <v>000063</v>
      </c>
      <c r="Q42" s="10">
        <v>42885</v>
      </c>
      <c r="R42" s="11"/>
      <c r="S42" s="11" t="str">
        <f>"008213"</f>
        <v>008213</v>
      </c>
      <c r="T42" s="10">
        <v>43455</v>
      </c>
      <c r="U42" s="14">
        <v>19.986930000000001</v>
      </c>
      <c r="V42" s="14">
        <v>2.6795200000000001</v>
      </c>
      <c r="W42" s="14">
        <v>17.307410000000001</v>
      </c>
      <c r="X42" s="11">
        <v>321</v>
      </c>
      <c r="Y42" s="10">
        <v>43475</v>
      </c>
      <c r="Z42" s="11">
        <v>9449219009</v>
      </c>
      <c r="AA42" s="12" t="s">
        <v>87</v>
      </c>
      <c r="AB42" s="11" t="s">
        <v>128</v>
      </c>
      <c r="AC42" s="12" t="s">
        <v>129</v>
      </c>
      <c r="AD42" s="11" t="s">
        <v>43</v>
      </c>
      <c r="AE42" s="12" t="s">
        <v>44</v>
      </c>
      <c r="AF42" s="14">
        <f t="shared" si="0"/>
        <v>0.1998693</v>
      </c>
      <c r="AG42" s="11" t="s">
        <v>45</v>
      </c>
    </row>
    <row r="43" spans="1:33" x14ac:dyDescent="0.2">
      <c r="A43" s="8">
        <v>8566</v>
      </c>
      <c r="B43" s="9" t="s">
        <v>169</v>
      </c>
      <c r="C43" s="10">
        <v>43475</v>
      </c>
      <c r="D43" s="11">
        <v>70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181</v>
      </c>
      <c r="J43" s="12" t="s">
        <v>182</v>
      </c>
      <c r="K43" s="13" t="s">
        <v>70</v>
      </c>
      <c r="L43" s="11" t="str">
        <f>"000012"</f>
        <v>000012</v>
      </c>
      <c r="M43" s="10">
        <v>42450</v>
      </c>
      <c r="N43" s="11" t="str">
        <f>"000002"</f>
        <v>000002</v>
      </c>
      <c r="O43" s="10">
        <v>42909</v>
      </c>
      <c r="P43" s="11" t="str">
        <f>"000005"</f>
        <v>000005</v>
      </c>
      <c r="Q43" s="10">
        <v>42914</v>
      </c>
      <c r="R43" s="11"/>
      <c r="S43" s="11" t="str">
        <f>"008225"</f>
        <v>008225</v>
      </c>
      <c r="T43" s="10">
        <v>43455</v>
      </c>
      <c r="U43" s="14">
        <v>46.244199999999999</v>
      </c>
      <c r="V43" s="14">
        <v>6.8172699999999997</v>
      </c>
      <c r="W43" s="14">
        <v>39.426929999999999</v>
      </c>
      <c r="X43" s="11">
        <v>321</v>
      </c>
      <c r="Y43" s="10">
        <v>43475</v>
      </c>
      <c r="Z43" s="11">
        <v>9632269666</v>
      </c>
      <c r="AA43" s="12" t="s">
        <v>87</v>
      </c>
      <c r="AB43" s="11" t="s">
        <v>183</v>
      </c>
      <c r="AC43" s="12" t="s">
        <v>184</v>
      </c>
      <c r="AD43" s="11" t="s">
        <v>185</v>
      </c>
      <c r="AE43" s="12" t="s">
        <v>186</v>
      </c>
      <c r="AF43" s="14">
        <f t="shared" si="0"/>
        <v>0.46244200000000002</v>
      </c>
      <c r="AG43" s="11" t="s">
        <v>45</v>
      </c>
    </row>
    <row r="44" spans="1:33" x14ac:dyDescent="0.2">
      <c r="A44" s="8">
        <v>8696</v>
      </c>
      <c r="B44" s="9" t="s">
        <v>169</v>
      </c>
      <c r="C44" s="10">
        <v>43484</v>
      </c>
      <c r="D44" s="11">
        <v>70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187</v>
      </c>
      <c r="J44" s="12" t="s">
        <v>188</v>
      </c>
      <c r="K44" s="13" t="s">
        <v>39</v>
      </c>
      <c r="L44" s="11" t="str">
        <f>"000032"</f>
        <v>000032</v>
      </c>
      <c r="M44" s="10">
        <v>43466</v>
      </c>
      <c r="N44" s="11" t="str">
        <f>"000037"</f>
        <v>000037</v>
      </c>
      <c r="O44" s="10">
        <v>43466</v>
      </c>
      <c r="P44" s="11" t="str">
        <f>"000036"</f>
        <v>000036</v>
      </c>
      <c r="Q44" s="10">
        <v>43466</v>
      </c>
      <c r="R44" s="11"/>
      <c r="S44" s="11" t="str">
        <f>"008836"</f>
        <v>008836</v>
      </c>
      <c r="T44" s="10">
        <v>43483</v>
      </c>
      <c r="U44" s="14">
        <v>109.94569</v>
      </c>
      <c r="V44" s="14">
        <v>11.79651</v>
      </c>
      <c r="W44" s="14">
        <v>98.149180000000001</v>
      </c>
      <c r="X44" s="11">
        <v>329</v>
      </c>
      <c r="Y44" s="10">
        <v>43484</v>
      </c>
      <c r="Z44" s="11">
        <v>7019753347</v>
      </c>
      <c r="AA44" s="12" t="s">
        <v>159</v>
      </c>
      <c r="AB44" s="11" t="s">
        <v>152</v>
      </c>
      <c r="AC44" s="12" t="s">
        <v>153</v>
      </c>
      <c r="AD44" s="11" t="s">
        <v>154</v>
      </c>
      <c r="AE44" s="12" t="s">
        <v>155</v>
      </c>
      <c r="AF44" s="14">
        <f t="shared" si="0"/>
        <v>1.0994569000000001</v>
      </c>
      <c r="AG44" s="11" t="s">
        <v>156</v>
      </c>
    </row>
    <row r="45" spans="1:33" x14ac:dyDescent="0.2">
      <c r="A45" s="8">
        <v>8922</v>
      </c>
      <c r="B45" s="9" t="s">
        <v>189</v>
      </c>
      <c r="C45" s="10">
        <v>43497</v>
      </c>
      <c r="D45" s="11">
        <v>70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190</v>
      </c>
      <c r="J45" s="12" t="s">
        <v>191</v>
      </c>
      <c r="K45" s="13" t="s">
        <v>70</v>
      </c>
      <c r="L45" s="11" t="str">
        <f>"000067"</f>
        <v>000067</v>
      </c>
      <c r="M45" s="10">
        <v>42625</v>
      </c>
      <c r="N45" s="11" t="str">
        <f>"000053"</f>
        <v>000053</v>
      </c>
      <c r="O45" s="10">
        <v>42916</v>
      </c>
      <c r="P45" s="11" t="str">
        <f>"000154"</f>
        <v>000154</v>
      </c>
      <c r="Q45" s="10">
        <v>42916</v>
      </c>
      <c r="R45" s="11"/>
      <c r="S45" s="11" t="str">
        <f>"008842"</f>
        <v>008842</v>
      </c>
      <c r="T45" s="10">
        <v>43484</v>
      </c>
      <c r="U45" s="14">
        <v>11.945499999999999</v>
      </c>
      <c r="V45" s="14">
        <v>1.6147400000000001</v>
      </c>
      <c r="W45" s="14">
        <v>10.33076</v>
      </c>
      <c r="X45" s="11">
        <v>337</v>
      </c>
      <c r="Y45" s="10">
        <v>43497</v>
      </c>
      <c r="Z45" s="11">
        <v>9449219909</v>
      </c>
      <c r="AA45" s="12" t="s">
        <v>87</v>
      </c>
      <c r="AB45" s="11" t="s">
        <v>192</v>
      </c>
      <c r="AC45" s="12" t="s">
        <v>193</v>
      </c>
      <c r="AD45" s="11" t="s">
        <v>43</v>
      </c>
      <c r="AE45" s="12" t="s">
        <v>44</v>
      </c>
      <c r="AF45" s="14">
        <f t="shared" si="0"/>
        <v>0.11945499999999999</v>
      </c>
      <c r="AG45" s="11" t="s">
        <v>45</v>
      </c>
    </row>
    <row r="46" spans="1:33" x14ac:dyDescent="0.2">
      <c r="A46" s="8">
        <v>9258</v>
      </c>
      <c r="B46" s="9" t="s">
        <v>189</v>
      </c>
      <c r="C46" s="10">
        <v>43521</v>
      </c>
      <c r="D46" s="11">
        <v>70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194</v>
      </c>
      <c r="J46" s="12" t="s">
        <v>195</v>
      </c>
      <c r="K46" s="13" t="s">
        <v>70</v>
      </c>
      <c r="L46" s="11" t="str">
        <f>"000011"</f>
        <v>000011</v>
      </c>
      <c r="M46" s="10">
        <v>43084</v>
      </c>
      <c r="N46" s="11" t="str">
        <f>"000012"</f>
        <v>000012</v>
      </c>
      <c r="O46" s="10">
        <v>43104</v>
      </c>
      <c r="P46" s="11" t="str">
        <f>"000011"</f>
        <v>000011</v>
      </c>
      <c r="Q46" s="10">
        <v>43104</v>
      </c>
      <c r="R46" s="11"/>
      <c r="S46" s="11" t="str">
        <f>"009281"</f>
        <v>009281</v>
      </c>
      <c r="T46" s="10">
        <v>43515</v>
      </c>
      <c r="U46" s="14">
        <v>24.796209999999999</v>
      </c>
      <c r="V46" s="14">
        <v>2.0085099999999998</v>
      </c>
      <c r="W46" s="14">
        <v>22.787700000000001</v>
      </c>
      <c r="X46" s="11">
        <v>358</v>
      </c>
      <c r="Y46" s="10">
        <v>43521</v>
      </c>
      <c r="Z46" s="11">
        <v>9986313631</v>
      </c>
      <c r="AA46" s="12" t="s">
        <v>196</v>
      </c>
      <c r="AB46" s="11" t="s">
        <v>197</v>
      </c>
      <c r="AC46" s="12" t="s">
        <v>198</v>
      </c>
      <c r="AD46" s="11" t="s">
        <v>74</v>
      </c>
      <c r="AE46" s="12" t="s">
        <v>75</v>
      </c>
      <c r="AF46" s="14">
        <f t="shared" si="0"/>
        <v>0.24796209999999999</v>
      </c>
      <c r="AG46" s="11" t="s">
        <v>45</v>
      </c>
    </row>
    <row r="47" spans="1:33" x14ac:dyDescent="0.2">
      <c r="A47" s="8">
        <v>9259</v>
      </c>
      <c r="B47" s="9" t="s">
        <v>189</v>
      </c>
      <c r="C47" s="10">
        <v>43521</v>
      </c>
      <c r="D47" s="11">
        <v>70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199</v>
      </c>
      <c r="J47" s="12" t="s">
        <v>200</v>
      </c>
      <c r="K47" s="13" t="s">
        <v>70</v>
      </c>
      <c r="L47" s="11" t="str">
        <f>"000010"</f>
        <v>000010</v>
      </c>
      <c r="M47" s="10">
        <v>43084</v>
      </c>
      <c r="N47" s="11" t="str">
        <f>"000011"</f>
        <v>000011</v>
      </c>
      <c r="O47" s="10">
        <v>43104</v>
      </c>
      <c r="P47" s="11" t="str">
        <f>"000012"</f>
        <v>000012</v>
      </c>
      <c r="Q47" s="10">
        <v>43104</v>
      </c>
      <c r="R47" s="11"/>
      <c r="S47" s="11" t="str">
        <f>"009282"</f>
        <v>009282</v>
      </c>
      <c r="T47" s="10">
        <v>43515</v>
      </c>
      <c r="U47" s="14">
        <v>24.796209999999999</v>
      </c>
      <c r="V47" s="14">
        <v>2.0085099999999998</v>
      </c>
      <c r="W47" s="14">
        <v>22.787700000000001</v>
      </c>
      <c r="X47" s="11">
        <v>358</v>
      </c>
      <c r="Y47" s="10">
        <v>43521</v>
      </c>
      <c r="Z47" s="11">
        <v>9986313631</v>
      </c>
      <c r="AA47" s="12" t="s">
        <v>196</v>
      </c>
      <c r="AB47" s="11" t="s">
        <v>197</v>
      </c>
      <c r="AC47" s="12" t="s">
        <v>198</v>
      </c>
      <c r="AD47" s="11" t="s">
        <v>74</v>
      </c>
      <c r="AE47" s="12" t="s">
        <v>75</v>
      </c>
      <c r="AF47" s="14">
        <f t="shared" si="0"/>
        <v>0.24796209999999999</v>
      </c>
      <c r="AG47" s="11" t="s">
        <v>45</v>
      </c>
    </row>
    <row r="48" spans="1:33" x14ac:dyDescent="0.2">
      <c r="A48" s="8">
        <v>9558</v>
      </c>
      <c r="B48" s="9" t="s">
        <v>201</v>
      </c>
      <c r="C48" s="10">
        <v>43531</v>
      </c>
      <c r="D48" s="11">
        <v>70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202</v>
      </c>
      <c r="J48" s="12" t="s">
        <v>203</v>
      </c>
      <c r="K48" s="13" t="s">
        <v>70</v>
      </c>
      <c r="L48" s="11" t="str">
        <f>"000065"</f>
        <v>000065</v>
      </c>
      <c r="M48" s="10">
        <v>42859</v>
      </c>
      <c r="N48" s="11" t="str">
        <f>"000019"</f>
        <v>000019</v>
      </c>
      <c r="O48" s="10">
        <v>42916</v>
      </c>
      <c r="P48" s="11" t="str">
        <f>"000113"</f>
        <v>000113</v>
      </c>
      <c r="Q48" s="10">
        <v>42916</v>
      </c>
      <c r="R48" s="11"/>
      <c r="S48" s="11" t="str">
        <f>"009573"</f>
        <v>009573</v>
      </c>
      <c r="T48" s="10">
        <v>43526</v>
      </c>
      <c r="U48" s="14">
        <v>13.295260000000001</v>
      </c>
      <c r="V48" s="14">
        <v>0.98719000000000001</v>
      </c>
      <c r="W48" s="14">
        <v>12.308070000000001</v>
      </c>
      <c r="X48" s="11">
        <v>370</v>
      </c>
      <c r="Y48" s="10">
        <v>43531</v>
      </c>
      <c r="Z48" s="11">
        <v>9141359024</v>
      </c>
      <c r="AA48" s="12" t="s">
        <v>204</v>
      </c>
      <c r="AB48" s="11" t="s">
        <v>49</v>
      </c>
      <c r="AC48" s="12" t="s">
        <v>50</v>
      </c>
      <c r="AD48" s="11" t="s">
        <v>43</v>
      </c>
      <c r="AE48" s="12" t="s">
        <v>44</v>
      </c>
      <c r="AF48" s="14">
        <f t="shared" si="0"/>
        <v>0.1329526</v>
      </c>
      <c r="AG48" s="11" t="s">
        <v>45</v>
      </c>
    </row>
    <row r="49" spans="1:33" x14ac:dyDescent="0.2">
      <c r="A49" s="8">
        <v>9669</v>
      </c>
      <c r="B49" s="9" t="s">
        <v>201</v>
      </c>
      <c r="C49" s="10">
        <v>43539</v>
      </c>
      <c r="D49" s="11">
        <v>70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205</v>
      </c>
      <c r="J49" s="12" t="s">
        <v>206</v>
      </c>
      <c r="K49" s="13" t="s">
        <v>70</v>
      </c>
      <c r="L49" s="11" t="str">
        <f>"000066"</f>
        <v>000066</v>
      </c>
      <c r="M49" s="10">
        <v>42859</v>
      </c>
      <c r="N49" s="11" t="str">
        <f>"000023"</f>
        <v>000023</v>
      </c>
      <c r="O49" s="10">
        <v>42916</v>
      </c>
      <c r="P49" s="11" t="str">
        <f>"000125"</f>
        <v>000125</v>
      </c>
      <c r="Q49" s="10">
        <v>42916</v>
      </c>
      <c r="R49" s="11"/>
      <c r="S49" s="11" t="str">
        <f>"009723"</f>
        <v>009723</v>
      </c>
      <c r="T49" s="10">
        <v>43538</v>
      </c>
      <c r="U49" s="14">
        <v>13.442410000000001</v>
      </c>
      <c r="V49" s="14">
        <v>0.998</v>
      </c>
      <c r="W49" s="14">
        <v>12.44441</v>
      </c>
      <c r="X49" s="11">
        <v>376</v>
      </c>
      <c r="Y49" s="10">
        <v>43539</v>
      </c>
      <c r="Z49" s="11">
        <v>9845187283</v>
      </c>
      <c r="AA49" s="12" t="s">
        <v>207</v>
      </c>
      <c r="AB49" s="11" t="s">
        <v>49</v>
      </c>
      <c r="AC49" s="12" t="s">
        <v>50</v>
      </c>
      <c r="AD49" s="11" t="s">
        <v>43</v>
      </c>
      <c r="AE49" s="12" t="s">
        <v>44</v>
      </c>
      <c r="AF49" s="14">
        <f t="shared" si="0"/>
        <v>0.13442410000000002</v>
      </c>
      <c r="AG49" s="11" t="s">
        <v>45</v>
      </c>
    </row>
    <row r="50" spans="1:33" x14ac:dyDescent="0.2">
      <c r="A50" s="8">
        <v>9671</v>
      </c>
      <c r="B50" s="9" t="s">
        <v>201</v>
      </c>
      <c r="C50" s="10">
        <v>43539</v>
      </c>
      <c r="D50" s="11">
        <v>70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208</v>
      </c>
      <c r="J50" s="12" t="s">
        <v>209</v>
      </c>
      <c r="K50" s="13" t="s">
        <v>39</v>
      </c>
      <c r="L50" s="11" t="str">
        <f>"000090"</f>
        <v>000090</v>
      </c>
      <c r="M50" s="10">
        <v>42453</v>
      </c>
      <c r="N50" s="11" t="str">
        <f>"000028"</f>
        <v>000028</v>
      </c>
      <c r="O50" s="10">
        <v>42916</v>
      </c>
      <c r="P50" s="11" t="str">
        <f>"000127"</f>
        <v>000127</v>
      </c>
      <c r="Q50" s="10">
        <v>42916</v>
      </c>
      <c r="R50" s="11"/>
      <c r="S50" s="11" t="str">
        <f>"009726"</f>
        <v>009726</v>
      </c>
      <c r="T50" s="10">
        <v>43538</v>
      </c>
      <c r="U50" s="14">
        <v>19.53171</v>
      </c>
      <c r="V50" s="14">
        <v>1.4376599999999999</v>
      </c>
      <c r="W50" s="14">
        <v>18.094049999999999</v>
      </c>
      <c r="X50" s="11">
        <v>376</v>
      </c>
      <c r="Y50" s="10">
        <v>43539</v>
      </c>
      <c r="Z50" s="11">
        <v>9743188999</v>
      </c>
      <c r="AA50" s="12" t="s">
        <v>210</v>
      </c>
      <c r="AB50" s="11" t="s">
        <v>49</v>
      </c>
      <c r="AC50" s="12" t="s">
        <v>50</v>
      </c>
      <c r="AD50" s="11" t="s">
        <v>43</v>
      </c>
      <c r="AE50" s="12" t="s">
        <v>44</v>
      </c>
      <c r="AF50" s="14">
        <f t="shared" si="0"/>
        <v>0.19531709999999999</v>
      </c>
      <c r="AG50" s="11" t="s">
        <v>45</v>
      </c>
    </row>
    <row r="51" spans="1:33" x14ac:dyDescent="0.2">
      <c r="A51" s="8">
        <v>9672</v>
      </c>
      <c r="B51" s="9" t="s">
        <v>201</v>
      </c>
      <c r="C51" s="10">
        <v>43539</v>
      </c>
      <c r="D51" s="11">
        <v>70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211</v>
      </c>
      <c r="J51" s="12" t="s">
        <v>212</v>
      </c>
      <c r="K51" s="13" t="s">
        <v>39</v>
      </c>
      <c r="L51" s="11" t="str">
        <f>"000359"</f>
        <v>000359</v>
      </c>
      <c r="M51" s="10">
        <v>42094</v>
      </c>
      <c r="N51" s="11" t="str">
        <f>"000027"</f>
        <v>000027</v>
      </c>
      <c r="O51" s="10">
        <v>42916</v>
      </c>
      <c r="P51" s="11" t="str">
        <f>"000128"</f>
        <v>000128</v>
      </c>
      <c r="Q51" s="10">
        <v>42916</v>
      </c>
      <c r="R51" s="11"/>
      <c r="S51" s="11" t="str">
        <f>"009727"</f>
        <v>009727</v>
      </c>
      <c r="T51" s="10">
        <v>43538</v>
      </c>
      <c r="U51" s="14">
        <v>19.806550000000001</v>
      </c>
      <c r="V51" s="14">
        <v>1.45634</v>
      </c>
      <c r="W51" s="14">
        <v>18.350210000000001</v>
      </c>
      <c r="X51" s="11">
        <v>376</v>
      </c>
      <c r="Y51" s="10">
        <v>43539</v>
      </c>
      <c r="Z51" s="11">
        <v>9743188999</v>
      </c>
      <c r="AA51" s="12" t="s">
        <v>210</v>
      </c>
      <c r="AB51" s="11" t="s">
        <v>49</v>
      </c>
      <c r="AC51" s="12" t="s">
        <v>50</v>
      </c>
      <c r="AD51" s="11" t="s">
        <v>43</v>
      </c>
      <c r="AE51" s="12" t="s">
        <v>44</v>
      </c>
      <c r="AF51" s="14">
        <f t="shared" si="0"/>
        <v>0.19806550000000001</v>
      </c>
      <c r="AG51" s="11" t="s">
        <v>45</v>
      </c>
    </row>
    <row r="52" spans="1:33" x14ac:dyDescent="0.2">
      <c r="A52" s="8">
        <v>9673</v>
      </c>
      <c r="B52" s="9" t="s">
        <v>201</v>
      </c>
      <c r="C52" s="10">
        <v>43539</v>
      </c>
      <c r="D52" s="11">
        <v>70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213</v>
      </c>
      <c r="J52" s="12" t="s">
        <v>214</v>
      </c>
      <c r="K52" s="13" t="s">
        <v>39</v>
      </c>
      <c r="L52" s="11" t="str">
        <f>"000089"</f>
        <v>000089</v>
      </c>
      <c r="M52" s="10">
        <v>42453</v>
      </c>
      <c r="N52" s="11" t="str">
        <f>"000026"</f>
        <v>000026</v>
      </c>
      <c r="O52" s="10">
        <v>42916</v>
      </c>
      <c r="P52" s="11" t="str">
        <f>"000129"</f>
        <v>000129</v>
      </c>
      <c r="Q52" s="10">
        <v>42916</v>
      </c>
      <c r="R52" s="11"/>
      <c r="S52" s="11" t="str">
        <f>"009728"</f>
        <v>009728</v>
      </c>
      <c r="T52" s="10">
        <v>43538</v>
      </c>
      <c r="U52" s="14">
        <v>19.554639999999999</v>
      </c>
      <c r="V52" s="14">
        <v>1.42204</v>
      </c>
      <c r="W52" s="14">
        <v>18.1326</v>
      </c>
      <c r="X52" s="11">
        <v>376</v>
      </c>
      <c r="Y52" s="10">
        <v>43539</v>
      </c>
      <c r="Z52" s="11">
        <v>9743188999</v>
      </c>
      <c r="AA52" s="12" t="s">
        <v>215</v>
      </c>
      <c r="AB52" s="11" t="s">
        <v>49</v>
      </c>
      <c r="AC52" s="12" t="s">
        <v>50</v>
      </c>
      <c r="AD52" s="11" t="s">
        <v>43</v>
      </c>
      <c r="AE52" s="12" t="s">
        <v>44</v>
      </c>
      <c r="AF52" s="14">
        <f t="shared" si="0"/>
        <v>0.19554639999999998</v>
      </c>
      <c r="AG52" s="11" t="s">
        <v>45</v>
      </c>
    </row>
    <row r="53" spans="1:33" x14ac:dyDescent="0.2">
      <c r="A53" s="8">
        <v>9674</v>
      </c>
      <c r="B53" s="9" t="s">
        <v>201</v>
      </c>
      <c r="C53" s="10">
        <v>43539</v>
      </c>
      <c r="D53" s="11">
        <v>70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216</v>
      </c>
      <c r="J53" s="12" t="s">
        <v>217</v>
      </c>
      <c r="K53" s="13" t="s">
        <v>39</v>
      </c>
      <c r="L53" s="11" t="str">
        <f>"000109"</f>
        <v>000109</v>
      </c>
      <c r="M53" s="10">
        <v>42460</v>
      </c>
      <c r="N53" s="11" t="str">
        <f>"0O0025"</f>
        <v>0O0025</v>
      </c>
      <c r="O53" s="10">
        <v>42916</v>
      </c>
      <c r="P53" s="11" t="str">
        <f>"000130"</f>
        <v>000130</v>
      </c>
      <c r="Q53" s="10">
        <v>42916</v>
      </c>
      <c r="R53" s="11"/>
      <c r="S53" s="11" t="str">
        <f>"009729"</f>
        <v>009729</v>
      </c>
      <c r="T53" s="10">
        <v>43538</v>
      </c>
      <c r="U53" s="14">
        <v>49.834560000000003</v>
      </c>
      <c r="V53" s="14">
        <v>6.6182600000000003</v>
      </c>
      <c r="W53" s="14">
        <v>43.216299999999997</v>
      </c>
      <c r="X53" s="11">
        <v>376</v>
      </c>
      <c r="Y53" s="10">
        <v>43539</v>
      </c>
      <c r="Z53" s="11">
        <v>9449219009</v>
      </c>
      <c r="AA53" s="12" t="s">
        <v>87</v>
      </c>
      <c r="AB53" s="11" t="s">
        <v>88</v>
      </c>
      <c r="AC53" s="12" t="s">
        <v>89</v>
      </c>
      <c r="AD53" s="11" t="s">
        <v>43</v>
      </c>
      <c r="AE53" s="12" t="s">
        <v>44</v>
      </c>
      <c r="AF53" s="14">
        <f t="shared" si="0"/>
        <v>0.49834560000000006</v>
      </c>
      <c r="AG53" s="11" t="s">
        <v>45</v>
      </c>
    </row>
    <row r="54" spans="1:33" x14ac:dyDescent="0.2">
      <c r="A54" s="8">
        <v>9675</v>
      </c>
      <c r="B54" s="9" t="s">
        <v>201</v>
      </c>
      <c r="C54" s="10">
        <v>43539</v>
      </c>
      <c r="D54" s="11">
        <v>70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218</v>
      </c>
      <c r="J54" s="12" t="s">
        <v>219</v>
      </c>
      <c r="K54" s="13" t="s">
        <v>39</v>
      </c>
      <c r="L54" s="11" t="str">
        <f>"000110"</f>
        <v>000110</v>
      </c>
      <c r="M54" s="10">
        <v>42460</v>
      </c>
      <c r="N54" s="11" t="str">
        <f>"000024"</f>
        <v>000024</v>
      </c>
      <c r="O54" s="10">
        <v>42916</v>
      </c>
      <c r="P54" s="11" t="str">
        <f>"000131"</f>
        <v>000131</v>
      </c>
      <c r="Q54" s="10">
        <v>42916</v>
      </c>
      <c r="R54" s="11"/>
      <c r="S54" s="11" t="str">
        <f>"009730"</f>
        <v>009730</v>
      </c>
      <c r="T54" s="10">
        <v>43538</v>
      </c>
      <c r="U54" s="14">
        <v>49.882800000000003</v>
      </c>
      <c r="V54" s="14">
        <v>6.6271000000000004</v>
      </c>
      <c r="W54" s="14">
        <v>43.255699999999997</v>
      </c>
      <c r="X54" s="11">
        <v>376</v>
      </c>
      <c r="Y54" s="10">
        <v>43539</v>
      </c>
      <c r="Z54" s="11">
        <v>9449219009</v>
      </c>
      <c r="AA54" s="12" t="s">
        <v>87</v>
      </c>
      <c r="AB54" s="11" t="s">
        <v>88</v>
      </c>
      <c r="AC54" s="12" t="s">
        <v>89</v>
      </c>
      <c r="AD54" s="11" t="s">
        <v>43</v>
      </c>
      <c r="AE54" s="12" t="s">
        <v>44</v>
      </c>
      <c r="AF54" s="14">
        <f t="shared" si="0"/>
        <v>0.49882800000000005</v>
      </c>
      <c r="AG54" s="11" t="s">
        <v>45</v>
      </c>
    </row>
    <row r="55" spans="1:33" x14ac:dyDescent="0.2">
      <c r="A55" s="8">
        <v>9702</v>
      </c>
      <c r="B55" s="9" t="s">
        <v>201</v>
      </c>
      <c r="C55" s="10">
        <v>43539</v>
      </c>
      <c r="D55" s="11">
        <v>70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220</v>
      </c>
      <c r="J55" s="12" t="s">
        <v>221</v>
      </c>
      <c r="K55" s="13" t="s">
        <v>70</v>
      </c>
      <c r="L55" s="11" t="str">
        <f>"0O0027"</f>
        <v>0O0027</v>
      </c>
      <c r="M55" s="10">
        <v>42537</v>
      </c>
      <c r="N55" s="11" t="str">
        <f>"000025"</f>
        <v>000025</v>
      </c>
      <c r="O55" s="10">
        <v>42916</v>
      </c>
      <c r="P55" s="11" t="str">
        <f>"000143"</f>
        <v>000143</v>
      </c>
      <c r="Q55" s="10">
        <v>42916</v>
      </c>
      <c r="R55" s="11"/>
      <c r="S55" s="11" t="str">
        <f>"009763"</f>
        <v>009763</v>
      </c>
      <c r="T55" s="10">
        <v>43538</v>
      </c>
      <c r="U55" s="14">
        <v>19.986940000000001</v>
      </c>
      <c r="V55" s="14">
        <v>2.6482600000000001</v>
      </c>
      <c r="W55" s="14">
        <v>17.33868</v>
      </c>
      <c r="X55" s="11">
        <v>376</v>
      </c>
      <c r="Y55" s="10">
        <v>43539</v>
      </c>
      <c r="Z55" s="11">
        <v>9449219009</v>
      </c>
      <c r="AA55" s="12" t="s">
        <v>87</v>
      </c>
      <c r="AB55" s="11" t="s">
        <v>128</v>
      </c>
      <c r="AC55" s="12" t="s">
        <v>129</v>
      </c>
      <c r="AD55" s="11" t="s">
        <v>43</v>
      </c>
      <c r="AE55" s="12" t="s">
        <v>44</v>
      </c>
      <c r="AF55" s="14">
        <f t="shared" si="0"/>
        <v>0.1998694</v>
      </c>
      <c r="AG55" s="11" t="s">
        <v>45</v>
      </c>
    </row>
    <row r="56" spans="1:33" x14ac:dyDescent="0.2">
      <c r="A56" s="8">
        <v>9710</v>
      </c>
      <c r="B56" s="9" t="s">
        <v>201</v>
      </c>
      <c r="C56" s="10">
        <v>43539</v>
      </c>
      <c r="D56" s="11">
        <v>70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222</v>
      </c>
      <c r="J56" s="12" t="s">
        <v>223</v>
      </c>
      <c r="K56" s="13" t="s">
        <v>70</v>
      </c>
      <c r="L56" s="11" t="str">
        <f>"0O0029"</f>
        <v>0O0029</v>
      </c>
      <c r="M56" s="10">
        <v>42537</v>
      </c>
      <c r="N56" s="11" t="str">
        <f>"0024"</f>
        <v>0024</v>
      </c>
      <c r="O56" s="10" t="s">
        <v>224</v>
      </c>
      <c r="P56" s="11" t="str">
        <f>"000144"</f>
        <v>000144</v>
      </c>
      <c r="Q56" s="10">
        <v>42916</v>
      </c>
      <c r="R56" s="11"/>
      <c r="S56" s="11" t="str">
        <f>"009771"</f>
        <v>009771</v>
      </c>
      <c r="T56" s="10">
        <v>43538</v>
      </c>
      <c r="U56" s="14">
        <v>19.956779999999998</v>
      </c>
      <c r="V56" s="14">
        <v>2.6442399999999999</v>
      </c>
      <c r="W56" s="14">
        <v>17.312539999999998</v>
      </c>
      <c r="X56" s="11">
        <v>376</v>
      </c>
      <c r="Y56" s="10">
        <v>43539</v>
      </c>
      <c r="Z56" s="11">
        <v>9449219009</v>
      </c>
      <c r="AA56" s="12" t="s">
        <v>87</v>
      </c>
      <c r="AB56" s="11" t="s">
        <v>128</v>
      </c>
      <c r="AC56" s="12" t="s">
        <v>129</v>
      </c>
      <c r="AD56" s="11" t="s">
        <v>43</v>
      </c>
      <c r="AE56" s="12" t="s">
        <v>44</v>
      </c>
      <c r="AF56" s="14">
        <f t="shared" si="0"/>
        <v>0.19956779999999999</v>
      </c>
      <c r="AG56" s="11" t="s">
        <v>45</v>
      </c>
    </row>
    <row r="57" spans="1:33" x14ac:dyDescent="0.2">
      <c r="A57" s="8">
        <v>9711</v>
      </c>
      <c r="B57" s="9" t="s">
        <v>201</v>
      </c>
      <c r="C57" s="10">
        <v>43539</v>
      </c>
      <c r="D57" s="11">
        <v>70</v>
      </c>
      <c r="E57" s="12" t="s">
        <v>34</v>
      </c>
      <c r="F57" s="12" t="s">
        <v>35</v>
      </c>
      <c r="G57" s="12" t="s">
        <v>35</v>
      </c>
      <c r="H57" s="12" t="s">
        <v>36</v>
      </c>
      <c r="I57" s="11" t="s">
        <v>225</v>
      </c>
      <c r="J57" s="12" t="s">
        <v>226</v>
      </c>
      <c r="K57" s="13" t="s">
        <v>70</v>
      </c>
      <c r="L57" s="11" t="str">
        <f>"000037"</f>
        <v>000037</v>
      </c>
      <c r="M57" s="10">
        <v>42548</v>
      </c>
      <c r="N57" s="11" t="str">
        <f>"000030"</f>
        <v>000030</v>
      </c>
      <c r="O57" s="10">
        <v>42916</v>
      </c>
      <c r="P57" s="11" t="str">
        <f>"000145"</f>
        <v>000145</v>
      </c>
      <c r="Q57" s="10">
        <v>42916</v>
      </c>
      <c r="R57" s="11"/>
      <c r="S57" s="11" t="str">
        <f>"009772"</f>
        <v>009772</v>
      </c>
      <c r="T57" s="10">
        <v>43538</v>
      </c>
      <c r="U57" s="14">
        <v>19.91704</v>
      </c>
      <c r="V57" s="14">
        <v>2.6390600000000002</v>
      </c>
      <c r="W57" s="14">
        <v>17.277979999999999</v>
      </c>
      <c r="X57" s="11">
        <v>376</v>
      </c>
      <c r="Y57" s="10">
        <v>43539</v>
      </c>
      <c r="Z57" s="11">
        <v>9449219009</v>
      </c>
      <c r="AA57" s="12" t="s">
        <v>87</v>
      </c>
      <c r="AB57" s="11" t="s">
        <v>197</v>
      </c>
      <c r="AC57" s="12" t="s">
        <v>198</v>
      </c>
      <c r="AD57" s="11" t="s">
        <v>43</v>
      </c>
      <c r="AE57" s="12" t="s">
        <v>44</v>
      </c>
      <c r="AF57" s="14">
        <f t="shared" si="0"/>
        <v>0.1991704</v>
      </c>
      <c r="AG57" s="11" t="s">
        <v>45</v>
      </c>
    </row>
    <row r="58" spans="1:33" x14ac:dyDescent="0.2">
      <c r="A58" s="8">
        <v>9895</v>
      </c>
      <c r="B58" s="9" t="s">
        <v>201</v>
      </c>
      <c r="C58" s="10">
        <v>43552</v>
      </c>
      <c r="D58" s="11">
        <v>70</v>
      </c>
      <c r="E58" s="12" t="s">
        <v>34</v>
      </c>
      <c r="F58" s="12" t="s">
        <v>35</v>
      </c>
      <c r="G58" s="12" t="s">
        <v>35</v>
      </c>
      <c r="H58" s="12" t="s">
        <v>36</v>
      </c>
      <c r="I58" s="11" t="s">
        <v>227</v>
      </c>
      <c r="J58" s="12" t="s">
        <v>228</v>
      </c>
      <c r="K58" s="13" t="s">
        <v>70</v>
      </c>
      <c r="L58" s="11" t="str">
        <f>"000035"</f>
        <v>000035</v>
      </c>
      <c r="M58" s="10">
        <v>42548</v>
      </c>
      <c r="N58" s="11" t="str">
        <f>"0028"</f>
        <v>0028</v>
      </c>
      <c r="O58" s="10" t="s">
        <v>224</v>
      </c>
      <c r="P58" s="11" t="str">
        <f>"000149"</f>
        <v>000149</v>
      </c>
      <c r="Q58" s="10">
        <v>42916</v>
      </c>
      <c r="R58" s="11"/>
      <c r="S58" s="11" t="str">
        <f>"009901"</f>
        <v>009901</v>
      </c>
      <c r="T58" s="10">
        <v>43549</v>
      </c>
      <c r="U58" s="14">
        <v>19.97598</v>
      </c>
      <c r="V58" s="14">
        <v>2.64628</v>
      </c>
      <c r="W58" s="14">
        <v>17.329699999999999</v>
      </c>
      <c r="X58" s="11">
        <v>388</v>
      </c>
      <c r="Y58" s="10">
        <v>43552</v>
      </c>
      <c r="Z58" s="11">
        <v>9449219009</v>
      </c>
      <c r="AA58" s="12" t="s">
        <v>87</v>
      </c>
      <c r="AB58" s="11" t="s">
        <v>197</v>
      </c>
      <c r="AC58" s="12" t="s">
        <v>198</v>
      </c>
      <c r="AD58" s="11" t="s">
        <v>43</v>
      </c>
      <c r="AE58" s="12" t="s">
        <v>44</v>
      </c>
      <c r="AF58" s="14">
        <f t="shared" si="0"/>
        <v>0.19975979999999999</v>
      </c>
      <c r="AG58" s="11" t="s">
        <v>45</v>
      </c>
    </row>
    <row r="59" spans="1:33" x14ac:dyDescent="0.2">
      <c r="A59" s="8">
        <v>9906</v>
      </c>
      <c r="B59" s="9" t="s">
        <v>201</v>
      </c>
      <c r="C59" s="10">
        <v>43552</v>
      </c>
      <c r="D59" s="11">
        <v>70</v>
      </c>
      <c r="E59" s="12" t="s">
        <v>34</v>
      </c>
      <c r="F59" s="12" t="s">
        <v>35</v>
      </c>
      <c r="G59" s="12" t="s">
        <v>35</v>
      </c>
      <c r="H59" s="12" t="s">
        <v>36</v>
      </c>
      <c r="I59" s="11" t="s">
        <v>229</v>
      </c>
      <c r="J59" s="12" t="s">
        <v>230</v>
      </c>
      <c r="K59" s="13" t="s">
        <v>70</v>
      </c>
      <c r="L59" s="11" t="str">
        <f>"000036"</f>
        <v>000036</v>
      </c>
      <c r="M59" s="10">
        <v>42548</v>
      </c>
      <c r="N59" s="11" t="str">
        <f>"0030"</f>
        <v>0030</v>
      </c>
      <c r="O59" s="10" t="s">
        <v>224</v>
      </c>
      <c r="P59" s="11" t="str">
        <f>"000150"</f>
        <v>000150</v>
      </c>
      <c r="Q59" s="10">
        <v>42916</v>
      </c>
      <c r="R59" s="11"/>
      <c r="S59" s="11" t="str">
        <f>"009912"</f>
        <v>009912</v>
      </c>
      <c r="T59" s="10">
        <v>43549</v>
      </c>
      <c r="U59" s="14">
        <v>19.964929999999999</v>
      </c>
      <c r="V59" s="14">
        <v>2.64533</v>
      </c>
      <c r="W59" s="14">
        <v>17.319600000000001</v>
      </c>
      <c r="X59" s="11">
        <v>388</v>
      </c>
      <c r="Y59" s="10">
        <v>43552</v>
      </c>
      <c r="Z59" s="11">
        <v>9449219009</v>
      </c>
      <c r="AA59" s="12" t="s">
        <v>87</v>
      </c>
      <c r="AB59" s="11" t="s">
        <v>197</v>
      </c>
      <c r="AC59" s="12" t="s">
        <v>198</v>
      </c>
      <c r="AD59" s="11" t="s">
        <v>43</v>
      </c>
      <c r="AE59" s="12" t="s">
        <v>44</v>
      </c>
      <c r="AF59" s="14">
        <f t="shared" si="0"/>
        <v>0.1996493</v>
      </c>
      <c r="AG59" s="11" t="s">
        <v>45</v>
      </c>
    </row>
    <row r="60" spans="1:33" x14ac:dyDescent="0.2">
      <c r="A60" s="8">
        <v>9909</v>
      </c>
      <c r="B60" s="9" t="s">
        <v>201</v>
      </c>
      <c r="C60" s="10">
        <v>43552</v>
      </c>
      <c r="D60" s="11">
        <v>70</v>
      </c>
      <c r="E60" s="12" t="s">
        <v>34</v>
      </c>
      <c r="F60" s="12" t="s">
        <v>35</v>
      </c>
      <c r="G60" s="12" t="s">
        <v>35</v>
      </c>
      <c r="H60" s="12" t="s">
        <v>36</v>
      </c>
      <c r="I60" s="11" t="s">
        <v>231</v>
      </c>
      <c r="J60" s="12" t="s">
        <v>232</v>
      </c>
      <c r="K60" s="13" t="s">
        <v>70</v>
      </c>
      <c r="L60" s="11" t="str">
        <f>"000035"</f>
        <v>000035</v>
      </c>
      <c r="M60" s="10">
        <v>42844</v>
      </c>
      <c r="N60" s="11" t="str">
        <f>"00o023"</f>
        <v>00o023</v>
      </c>
      <c r="O60" s="10">
        <v>42916</v>
      </c>
      <c r="P60" s="11" t="str">
        <f>"000153"</f>
        <v>000153</v>
      </c>
      <c r="Q60" s="10">
        <v>42916</v>
      </c>
      <c r="R60" s="11"/>
      <c r="S60" s="11" t="str">
        <f>"009915"</f>
        <v>009915</v>
      </c>
      <c r="T60" s="10">
        <v>43549</v>
      </c>
      <c r="U60" s="14">
        <v>13.4239</v>
      </c>
      <c r="V60" s="14">
        <v>0.98665999999999998</v>
      </c>
      <c r="W60" s="14">
        <v>12.437239999999999</v>
      </c>
      <c r="X60" s="11">
        <v>388</v>
      </c>
      <c r="Y60" s="10">
        <v>43552</v>
      </c>
      <c r="Z60" s="11">
        <v>9845187283</v>
      </c>
      <c r="AA60" s="12" t="s">
        <v>207</v>
      </c>
      <c r="AB60" s="11" t="s">
        <v>49</v>
      </c>
      <c r="AC60" s="12" t="s">
        <v>50</v>
      </c>
      <c r="AD60" s="11" t="s">
        <v>43</v>
      </c>
      <c r="AE60" s="12" t="s">
        <v>44</v>
      </c>
      <c r="AF60" s="14">
        <f t="shared" si="0"/>
        <v>0.134239</v>
      </c>
      <c r="AG60" s="11" t="s">
        <v>45</v>
      </c>
    </row>
    <row r="61" spans="1:33" x14ac:dyDescent="0.2">
      <c r="A61" s="8">
        <v>9940</v>
      </c>
      <c r="B61" s="9" t="s">
        <v>201</v>
      </c>
      <c r="C61" s="10">
        <v>43552</v>
      </c>
      <c r="D61" s="11">
        <v>70</v>
      </c>
      <c r="E61" s="12" t="s">
        <v>34</v>
      </c>
      <c r="F61" s="12" t="s">
        <v>35</v>
      </c>
      <c r="G61" s="12" t="s">
        <v>35</v>
      </c>
      <c r="H61" s="12" t="s">
        <v>36</v>
      </c>
      <c r="I61" s="11" t="s">
        <v>233</v>
      </c>
      <c r="J61" s="12" t="s">
        <v>234</v>
      </c>
      <c r="K61" s="13" t="s">
        <v>70</v>
      </c>
      <c r="L61" s="11" t="str">
        <f>"000073"</f>
        <v>000073</v>
      </c>
      <c r="M61" s="10">
        <v>42870</v>
      </c>
      <c r="N61" s="11" t="str">
        <f>"000022"</f>
        <v>000022</v>
      </c>
      <c r="O61" s="10">
        <v>42916</v>
      </c>
      <c r="P61" s="11" t="str">
        <f>"000164"</f>
        <v>000164</v>
      </c>
      <c r="Q61" s="10">
        <v>42916</v>
      </c>
      <c r="R61" s="11"/>
      <c r="S61" s="11" t="str">
        <f>"009946"</f>
        <v>009946</v>
      </c>
      <c r="T61" s="10">
        <v>43549</v>
      </c>
      <c r="U61" s="14">
        <v>18.24494</v>
      </c>
      <c r="V61" s="14">
        <v>1.32212</v>
      </c>
      <c r="W61" s="14">
        <v>16.922820000000002</v>
      </c>
      <c r="X61" s="11">
        <v>388</v>
      </c>
      <c r="Y61" s="10">
        <v>43552</v>
      </c>
      <c r="Z61" s="11">
        <v>9986020978</v>
      </c>
      <c r="AA61" s="12" t="s">
        <v>168</v>
      </c>
      <c r="AB61" s="11" t="s">
        <v>49</v>
      </c>
      <c r="AC61" s="12" t="s">
        <v>50</v>
      </c>
      <c r="AD61" s="11" t="s">
        <v>43</v>
      </c>
      <c r="AE61" s="12" t="s">
        <v>44</v>
      </c>
      <c r="AF61" s="14">
        <f t="shared" si="0"/>
        <v>0.18244939999999998</v>
      </c>
      <c r="AG61" s="11" t="s">
        <v>45</v>
      </c>
    </row>
    <row r="62" spans="1:33" x14ac:dyDescent="0.2">
      <c r="A62" s="8">
        <v>9943</v>
      </c>
      <c r="B62" s="9" t="s">
        <v>201</v>
      </c>
      <c r="C62" s="10">
        <v>43552</v>
      </c>
      <c r="D62" s="11">
        <v>70</v>
      </c>
      <c r="E62" s="12" t="s">
        <v>34</v>
      </c>
      <c r="F62" s="12" t="s">
        <v>35</v>
      </c>
      <c r="G62" s="12" t="s">
        <v>35</v>
      </c>
      <c r="H62" s="12" t="s">
        <v>36</v>
      </c>
      <c r="I62" s="11" t="s">
        <v>235</v>
      </c>
      <c r="J62" s="12" t="s">
        <v>236</v>
      </c>
      <c r="K62" s="13" t="s">
        <v>70</v>
      </c>
      <c r="L62" s="11" t="str">
        <f>"000075"</f>
        <v>000075</v>
      </c>
      <c r="M62" s="10">
        <v>42870</v>
      </c>
      <c r="N62" s="11" t="str">
        <f>"000020"</f>
        <v>000020</v>
      </c>
      <c r="O62" s="10">
        <v>42916</v>
      </c>
      <c r="P62" s="11" t="str">
        <f>"000163"</f>
        <v>000163</v>
      </c>
      <c r="Q62" s="10">
        <v>42916</v>
      </c>
      <c r="R62" s="11"/>
      <c r="S62" s="11" t="str">
        <f>"009949"</f>
        <v>009949</v>
      </c>
      <c r="T62" s="10">
        <v>43549</v>
      </c>
      <c r="U62" s="14">
        <v>9.2276799999999994</v>
      </c>
      <c r="V62" s="14">
        <v>0.67505000000000004</v>
      </c>
      <c r="W62" s="14">
        <v>8.5526300000000006</v>
      </c>
      <c r="X62" s="11">
        <v>388</v>
      </c>
      <c r="Y62" s="10">
        <v>43552</v>
      </c>
      <c r="Z62" s="11">
        <v>9880466655</v>
      </c>
      <c r="AA62" s="12" t="s">
        <v>237</v>
      </c>
      <c r="AB62" s="11" t="s">
        <v>49</v>
      </c>
      <c r="AC62" s="12" t="s">
        <v>50</v>
      </c>
      <c r="AD62" s="11" t="s">
        <v>43</v>
      </c>
      <c r="AE62" s="12" t="s">
        <v>44</v>
      </c>
      <c r="AF62" s="14">
        <f t="shared" si="0"/>
        <v>9.2276799999999992E-2</v>
      </c>
      <c r="AG62" s="11" t="s">
        <v>45</v>
      </c>
    </row>
    <row r="63" spans="1:33" x14ac:dyDescent="0.2">
      <c r="A63" s="8">
        <v>9960</v>
      </c>
      <c r="B63" s="9" t="s">
        <v>201</v>
      </c>
      <c r="C63" s="10">
        <v>43552</v>
      </c>
      <c r="D63" s="11">
        <v>70</v>
      </c>
      <c r="E63" s="12" t="s">
        <v>34</v>
      </c>
      <c r="F63" s="12" t="s">
        <v>35</v>
      </c>
      <c r="G63" s="12" t="s">
        <v>35</v>
      </c>
      <c r="H63" s="12" t="s">
        <v>36</v>
      </c>
      <c r="I63" s="11" t="s">
        <v>238</v>
      </c>
      <c r="J63" s="12" t="s">
        <v>239</v>
      </c>
      <c r="K63" s="13" t="s">
        <v>70</v>
      </c>
      <c r="L63" s="11" t="str">
        <f>"000033"</f>
        <v>000033</v>
      </c>
      <c r="M63" s="10">
        <v>43468</v>
      </c>
      <c r="N63" s="11" t="str">
        <f>"000042"</f>
        <v>000042</v>
      </c>
      <c r="O63" s="10">
        <v>43495</v>
      </c>
      <c r="P63" s="11" t="str">
        <f>"000040"</f>
        <v>000040</v>
      </c>
      <c r="Q63" s="10">
        <v>43495</v>
      </c>
      <c r="R63" s="11"/>
      <c r="S63" s="11" t="str">
        <f>"010034"</f>
        <v>010034</v>
      </c>
      <c r="T63" s="10">
        <v>43551</v>
      </c>
      <c r="U63" s="14">
        <v>24.407699999999998</v>
      </c>
      <c r="V63" s="14">
        <v>0.94850000000000001</v>
      </c>
      <c r="W63" s="14">
        <v>23.459199999999999</v>
      </c>
      <c r="X63" s="11">
        <v>389</v>
      </c>
      <c r="Y63" s="10">
        <v>43552</v>
      </c>
      <c r="Z63" s="11">
        <v>8105664987</v>
      </c>
      <c r="AA63" s="12" t="s">
        <v>240</v>
      </c>
      <c r="AB63" s="11" t="s">
        <v>72</v>
      </c>
      <c r="AC63" s="12" t="s">
        <v>73</v>
      </c>
      <c r="AD63" s="11" t="s">
        <v>74</v>
      </c>
      <c r="AE63" s="12" t="s">
        <v>75</v>
      </c>
      <c r="AF63" s="14">
        <f t="shared" si="0"/>
        <v>0.24407699999999999</v>
      </c>
      <c r="AG63" s="11" t="s">
        <v>156</v>
      </c>
    </row>
    <row r="64" spans="1:33" x14ac:dyDescent="0.2">
      <c r="A64" s="8">
        <v>9961</v>
      </c>
      <c r="B64" s="9" t="s">
        <v>201</v>
      </c>
      <c r="C64" s="10">
        <v>43552</v>
      </c>
      <c r="D64" s="11">
        <v>70</v>
      </c>
      <c r="E64" s="12" t="s">
        <v>34</v>
      </c>
      <c r="F64" s="12" t="s">
        <v>35</v>
      </c>
      <c r="G64" s="12" t="s">
        <v>35</v>
      </c>
      <c r="H64" s="12" t="s">
        <v>36</v>
      </c>
      <c r="I64" s="11" t="s">
        <v>241</v>
      </c>
      <c r="J64" s="12" t="s">
        <v>242</v>
      </c>
      <c r="K64" s="13" t="s">
        <v>70</v>
      </c>
      <c r="L64" s="11" t="str">
        <f>"000034"</f>
        <v>000034</v>
      </c>
      <c r="M64" s="10">
        <v>43468</v>
      </c>
      <c r="N64" s="11" t="str">
        <f>"000041"</f>
        <v>000041</v>
      </c>
      <c r="O64" s="10">
        <v>43495</v>
      </c>
      <c r="P64" s="11" t="str">
        <f>"000039"</f>
        <v>000039</v>
      </c>
      <c r="Q64" s="10">
        <v>43495</v>
      </c>
      <c r="R64" s="11"/>
      <c r="S64" s="11" t="str">
        <f>"010035"</f>
        <v>010035</v>
      </c>
      <c r="T64" s="10">
        <v>43551</v>
      </c>
      <c r="U64" s="14">
        <v>24.409459999999999</v>
      </c>
      <c r="V64" s="14">
        <v>0.94850000000000001</v>
      </c>
      <c r="W64" s="14">
        <v>23.46096</v>
      </c>
      <c r="X64" s="11">
        <v>389</v>
      </c>
      <c r="Y64" s="10">
        <v>43552</v>
      </c>
      <c r="Z64" s="11">
        <v>8105664987</v>
      </c>
      <c r="AA64" s="12" t="s">
        <v>243</v>
      </c>
      <c r="AB64" s="11" t="s">
        <v>72</v>
      </c>
      <c r="AC64" s="12" t="s">
        <v>73</v>
      </c>
      <c r="AD64" s="11" t="s">
        <v>74</v>
      </c>
      <c r="AE64" s="12" t="s">
        <v>75</v>
      </c>
      <c r="AF64" s="14">
        <f t="shared" si="0"/>
        <v>0.24409459999999999</v>
      </c>
      <c r="AG64" s="11" t="s">
        <v>156</v>
      </c>
    </row>
    <row r="65" spans="1:33" x14ac:dyDescent="0.2">
      <c r="A65" s="8">
        <v>10020</v>
      </c>
      <c r="B65" s="9" t="s">
        <v>201</v>
      </c>
      <c r="C65" s="10">
        <v>43552</v>
      </c>
      <c r="D65" s="11">
        <v>70</v>
      </c>
      <c r="E65" s="12" t="s">
        <v>34</v>
      </c>
      <c r="F65" s="12" t="s">
        <v>35</v>
      </c>
      <c r="G65" s="12" t="s">
        <v>35</v>
      </c>
      <c r="H65" s="12" t="s">
        <v>36</v>
      </c>
      <c r="I65" s="11" t="s">
        <v>244</v>
      </c>
      <c r="J65" s="12" t="s">
        <v>245</v>
      </c>
      <c r="K65" s="13" t="s">
        <v>70</v>
      </c>
      <c r="L65" s="11" t="str">
        <f>"000027"</f>
        <v>000027</v>
      </c>
      <c r="M65" s="10">
        <v>42835</v>
      </c>
      <c r="N65" s="11" t="str">
        <f>"000031"</f>
        <v>000031</v>
      </c>
      <c r="O65" s="10">
        <v>42916</v>
      </c>
      <c r="P65" s="11" t="str">
        <f>"000179"</f>
        <v>000179</v>
      </c>
      <c r="Q65" s="10">
        <v>42916</v>
      </c>
      <c r="R65" s="11"/>
      <c r="S65" s="11" t="str">
        <f>"010082"</f>
        <v>010082</v>
      </c>
      <c r="T65" s="10">
        <v>43552</v>
      </c>
      <c r="U65" s="14">
        <v>18.411560000000001</v>
      </c>
      <c r="V65" s="14">
        <v>1.3532599999999999</v>
      </c>
      <c r="W65" s="14">
        <v>17.058299999999999</v>
      </c>
      <c r="X65" s="11">
        <v>390</v>
      </c>
      <c r="Y65" s="10">
        <v>43552</v>
      </c>
      <c r="Z65" s="11">
        <v>9880404202</v>
      </c>
      <c r="AA65" s="12" t="s">
        <v>246</v>
      </c>
      <c r="AB65" s="11" t="s">
        <v>49</v>
      </c>
      <c r="AC65" s="12" t="s">
        <v>50</v>
      </c>
      <c r="AD65" s="11" t="s">
        <v>43</v>
      </c>
      <c r="AE65" s="12" t="s">
        <v>44</v>
      </c>
      <c r="AF65" s="14">
        <f t="shared" si="0"/>
        <v>0.18411560000000002</v>
      </c>
      <c r="AG65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2019-06-13T07:44:38Z</dcterms:modified>
</cp:coreProperties>
</file>