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2" i="1" l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<sst xmlns="http://schemas.openxmlformats.org/spreadsheetml/2006/main" count="747" uniqueCount="207">
  <si>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</si>
  <si>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</si>
  <si>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</si>
  <si>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</si>
  <si>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</si>
  <si>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</si>
  <si>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</si>
  <si>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</si>
  <si>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</si>
  <si>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</si>
  <si>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</si>
  <si>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</si>
  <si>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</si>
  <si>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</si>
  <si>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</si>
  <si>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</si>
  <si>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</si>
  <si>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</si>
  <si>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</si>
  <si>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</si>
  <si>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</si>
  <si>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</si>
  <si>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</si>
  <si>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</si>
  <si>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</si>
  <si>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</si>
  <si>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</si>
  <si>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</si>
  <si>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</si>
  <si>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</si>
  <si>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</si>
  <si>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</si>
  <si>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</si>
  <si>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</si>
  <si>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Heggana Halli</t>
  </si>
  <si>
    <t>Dasara Halli</t>
  </si>
  <si>
    <t>304-17-000030</t>
  </si>
  <si>
    <t>Consultancy Services for Preparation of DPR for the Work of Comnprehensive Development of Roads in Hoysalanagar, Sanjeevininagar, Gajanananagar, Maruthinagar, Ward no 71 Dasarahalli GOK-2016-17-N-RI-DH-Package-03</t>
  </si>
  <si>
    <t>Other Ward Works</t>
  </si>
  <si>
    <t>M/s Civil Experts Consultants &amp; Testing Center,</t>
  </si>
  <si>
    <t>P3158</t>
  </si>
  <si>
    <t>SIP Infrastructure Project works</t>
  </si>
  <si>
    <t>ddo663</t>
  </si>
  <si>
    <t xml:space="preserve"> Executive Engineer Road Infrastructure Dasarahalli Division Central Zone</t>
  </si>
  <si>
    <t>Pending</t>
  </si>
  <si>
    <t>071-17-000033</t>
  </si>
  <si>
    <t>Improvements to KTG road (balance portion) of Srigandhanagara and Gajanana nagara in ward no. 71</t>
  </si>
  <si>
    <t>Roads &amp; Drivablility</t>
  </si>
  <si>
    <t>Madava Reddy K</t>
  </si>
  <si>
    <t>P3089</t>
  </si>
  <si>
    <t>Special Development works in 7 CMC and 1 TMC area in BBMP</t>
  </si>
  <si>
    <t>ddo022</t>
  </si>
  <si>
    <t xml:space="preserve"> Assistant Executive Engineer HeganaHalli SubDiv Dasarahalli Zone</t>
  </si>
  <si>
    <t>M/s. Star Builders and Developers, (Sri. C.S. Doreswamy),</t>
  </si>
  <si>
    <t>071-17-000031</t>
  </si>
  <si>
    <t>Asphalting to 1st main road and its crosses of Hoysala nagara in ward no. 71</t>
  </si>
  <si>
    <t>Kumara BJ</t>
  </si>
  <si>
    <t>071-18-000030</t>
  </si>
  <si>
    <t>Re construction of CC roads and drains 3rd cross, friend colony from Hegganahalli main road in w no 71</t>
  </si>
  <si>
    <t>KRIDL</t>
  </si>
  <si>
    <t>P1878</t>
  </si>
  <si>
    <t>18per - Works (Bhagyajyothi, Sooru / Neeru Yojane and General) (54 Lakhs / New Wards)</t>
  </si>
  <si>
    <t>071-15-000091</t>
  </si>
  <si>
    <t>Drilling of new Borewells at Ward No.71</t>
  </si>
  <si>
    <t>Water &amp; Sanitary</t>
  </si>
  <si>
    <t>P0299</t>
  </si>
  <si>
    <t>Drilling and Maintenance of Borewells, Pumpsets and Pipe lines, Erection and Installation etc</t>
  </si>
  <si>
    <t>ddo464</t>
  </si>
  <si>
    <t xml:space="preserve"> Assistant Executive Engineer Project - 1 Dasarahalli Zone</t>
  </si>
  <si>
    <t>071-18-000028</t>
  </si>
  <si>
    <t>Re construction of CC roads and drains at 2nd cross friend colony from Hegganahalli main road in w no 71</t>
  </si>
  <si>
    <t>May</t>
  </si>
  <si>
    <t>071-16-000010</t>
  </si>
  <si>
    <t>Improvement to drains of 2nd cross, 3rd cross Right side Maruthinagara in Ward No. 71</t>
  </si>
  <si>
    <t>Footpaths &amp; Walkability</t>
  </si>
  <si>
    <t>J  K suresh</t>
  </si>
  <si>
    <t>P1771</t>
  </si>
  <si>
    <t>Zone Works - POW Works</t>
  </si>
  <si>
    <t>071-17-000034</t>
  </si>
  <si>
    <t>Providing CC Camera at Garbage Block Spots in ward no 71</t>
  </si>
  <si>
    <t>Crime &amp; Safety</t>
  </si>
  <si>
    <t>K.Jagadish</t>
  </si>
  <si>
    <t>P3110</t>
  </si>
  <si>
    <t>14th Finance Commission Grant Works</t>
  </si>
  <si>
    <t>Spill Over</t>
  </si>
  <si>
    <t>071-17-000001</t>
  </si>
  <si>
    <t>Construction of Compound wall to Protect BBMP Property in Sy. No. 1-3 of Hegganahalli, in ward no 71</t>
  </si>
  <si>
    <t>P0607</t>
  </si>
  <si>
    <t>Fencing of BBMP Properties (Other than gardens, parks)</t>
  </si>
  <si>
    <t>071-16-000011</t>
  </si>
  <si>
    <t>Improvements to drains and roads in 2nd cross, 3rd cross Peenya Andrahalli Road side Friends colony in Ward No. 71</t>
  </si>
  <si>
    <t>J.C. RAMACHANDRA</t>
  </si>
  <si>
    <t>June</t>
  </si>
  <si>
    <t>071-17-000021</t>
  </si>
  <si>
    <t>Development of roads in Hoysalanagara, Sanjeevininagara, Gajanananagara, Maruthinagar in ward no 71 Dhalli 2016-17 Package No 03</t>
  </si>
  <si>
    <t>BM Range Gowda</t>
  </si>
  <si>
    <t>071-17-000029</t>
  </si>
  <si>
    <t>Asphalting to cross roads of Sanjeevini nagara 1st stage (Surrounding roads of Bishap carmel school) in ward no. 71</t>
  </si>
  <si>
    <t>M/S. Nijaguna Land Developers &amp; Builders</t>
  </si>
  <si>
    <t>071-17-000030</t>
  </si>
  <si>
    <t>Asphalting to 3rd main and its cross roads of Lakshman Nagara in ward no. 71</t>
  </si>
  <si>
    <t>071-18-000029</t>
  </si>
  <si>
    <t>Re construction of CC roads and drains at 2nd main at 1st main and its crosses in friends colony in ward no 71</t>
  </si>
  <si>
    <t>071-16-000015</t>
  </si>
  <si>
    <t>Maintenance of Ward Removal of Silt and debris, Emergency flood damaged works in Hegganahalli, in Ward No. 71, Hegganahalli sub division.</t>
  </si>
  <si>
    <t>Health &amp; Sanitation</t>
  </si>
  <si>
    <t>B.J KUMAR</t>
  </si>
  <si>
    <t>071-18-000027</t>
  </si>
  <si>
    <t>Re construction of CC roads and drains 4th cross, friend colony from Hegganahalli main road in w no 71</t>
  </si>
  <si>
    <t>071-15-000043</t>
  </si>
  <si>
    <t>Re-Asphalting to 8th, 9th Crosses of Sunkadakatte from Magadi Road to Pipeline Road in Hegganahalli Village Area of Ward No.71</t>
  </si>
  <si>
    <t>P2415</t>
  </si>
  <si>
    <t>Reserve fund for TandF Committee</t>
  </si>
  <si>
    <t>July</t>
  </si>
  <si>
    <t>071-13-000040</t>
  </si>
  <si>
    <t>Construction of road on 7th cross 10th cross and other cross roads of Sanjivininagara 2nd phase in ward no 71</t>
  </si>
  <si>
    <t>P2201</t>
  </si>
  <si>
    <t>Assembly Constituency Development Works under BBMP</t>
  </si>
  <si>
    <t>071-17-000002</t>
  </si>
  <si>
    <t>Providing LED lighting and electrical fitting at surrounding areas near Hegganahalli in ward no 71</t>
  </si>
  <si>
    <t>M/s KRIDL</t>
  </si>
  <si>
    <t>P0190</t>
  </si>
  <si>
    <t>Works sanctioned by Hon Mayor</t>
  </si>
  <si>
    <t>ddo466</t>
  </si>
  <si>
    <t xml:space="preserve"> Assistant Executive Engineer Electrical Dasarahalli Zone</t>
  </si>
  <si>
    <t>071-16-000001</t>
  </si>
  <si>
    <t>Operation and Maintenance of stree light at Hegganahalli ward no. 71 Package D9</t>
  </si>
  <si>
    <t>M/S CHETAN ELECTRICALS</t>
  </si>
  <si>
    <t>P0300</t>
  </si>
  <si>
    <t>M and R to Street Lights - Replacement of Burnt Bulbs etc. (Package)</t>
  </si>
  <si>
    <t>August</t>
  </si>
  <si>
    <t>071-16-000006</t>
  </si>
  <si>
    <t>Construction of Roads and lanes Balance mud lanes of Gajanananagara adjoining KTG Road in Ward No. 71</t>
  </si>
  <si>
    <t>RAMACHANDRAIAH</t>
  </si>
  <si>
    <t>September</t>
  </si>
  <si>
    <t>071-18-000025</t>
  </si>
  <si>
    <t>Re construction of CC roads and drains at Maruthi nagara in ward no 71</t>
  </si>
  <si>
    <t>071-16-000007</t>
  </si>
  <si>
    <t>Construction of Roads Mud roads beside Anjaneyaswamy temple road in Sanjeevininagara 1st stage in Ward No. 71</t>
  </si>
  <si>
    <t>NANJUNDAIAH K B</t>
  </si>
  <si>
    <t>October</t>
  </si>
  <si>
    <t>071-18-000031</t>
  </si>
  <si>
    <t>Construction of culverts and U Shape drain for SWD near Om shakthi temple road in ward no.71</t>
  </si>
  <si>
    <t>Storm Water Drains</t>
  </si>
  <si>
    <t>B.N Somashekar</t>
  </si>
  <si>
    <t>P3106</t>
  </si>
  <si>
    <t>Nagarothana Works</t>
  </si>
  <si>
    <t>ddo313</t>
  </si>
  <si>
    <t xml:space="preserve"> Chief Engineer SWD Central Zone</t>
  </si>
  <si>
    <t>Current</t>
  </si>
  <si>
    <t>M/s. Civil-Tech Consultants &amp; Engineers</t>
  </si>
  <si>
    <t>071-17-000023</t>
  </si>
  <si>
    <t>Annual Maintenance and repairs to Water Supply In Hegganahalli Ward No 71</t>
  </si>
  <si>
    <t>P1802</t>
  </si>
  <si>
    <t>Water Supply New Areas</t>
  </si>
  <si>
    <t>December</t>
  </si>
  <si>
    <t>071-19-000002</t>
  </si>
  <si>
    <t>Providing LED street Lights at Hegganahalli and Maruthi Nagara Surrouniding area in Ward No 71</t>
  </si>
  <si>
    <t>THE TECHNICAL MANAGER2(BBMP)KRIDL</t>
  </si>
  <si>
    <t>P3111</t>
  </si>
  <si>
    <t>State Finance Commission Untied Grant Works</t>
  </si>
  <si>
    <t>071-19-000001</t>
  </si>
  <si>
    <t>Providing LED street Lights at Hoysala Nagara and Om Shakthi Temple Surrouniding area in Ward No 71</t>
  </si>
  <si>
    <t>THE TECHNICAL MANAGER-2(BBMP) KRIDL</t>
  </si>
  <si>
    <t>P3409</t>
  </si>
  <si>
    <t>SFC Untied SC-SP/TSP Grant works</t>
  </si>
  <si>
    <t>January</t>
  </si>
  <si>
    <t>071-17-000028</t>
  </si>
  <si>
    <t>Asphalting to pipeline road from Hegganahalli main road to 2nd main Hoysala nagara in ward no. 71</t>
  </si>
  <si>
    <t>Ramachandra. BH</t>
  </si>
  <si>
    <t>February</t>
  </si>
  <si>
    <t>071-17-000014</t>
  </si>
  <si>
    <t>Improvements to drains in 5th cross and 4th main and adjacent roads of Sanjeevininagara 1st stage near Neelakanteshwara temple in Hegganahalli ward no 71 Hegganahalli Sud division</t>
  </si>
  <si>
    <t>Jagadish K</t>
  </si>
  <si>
    <t>071-17-000013</t>
  </si>
  <si>
    <t>Improvements to drains in 3rd main from Neelakanteshwara temple road towards 5th cross of Sanjeevininagara 1st stage in Hegganahalli ward no 71 Hegganahalli Sud division</t>
  </si>
  <si>
    <t>071-17-000008</t>
  </si>
  <si>
    <t>Improvements to drains and roads at 6th cross (behind Banashankary Bakery)in Sanjeevininagara 3rd stage in Hegganahalli ward no 71 Hegganahalli Sud division</t>
  </si>
  <si>
    <t>March</t>
  </si>
  <si>
    <t>071-17-000019</t>
  </si>
  <si>
    <t>Repairs and reconstruction of footpath and drains at bad reaches in Hegganahalli ward no 71 Hegganahalli Sud division</t>
  </si>
  <si>
    <t>BASAVARAJAIAH MC</t>
  </si>
  <si>
    <t>071-17-000004</t>
  </si>
  <si>
    <t>Construction of Culverts and realigning of drains in Hegganahalli in ward no 71 Heganahalli Sub division</t>
  </si>
  <si>
    <t>071-17-000016</t>
  </si>
  <si>
    <t>Improvments to drains and roads in Nisarga school road at Shrigandha nagara in Hegganahalli ward no 71 Hegganahalli Sud division</t>
  </si>
  <si>
    <t>071-16-000002</t>
  </si>
  <si>
    <t>Asphalting to 4th main road of Sanjeevininagar 1st stage Opp. Neelakanteshwara Temple in Ward No. 71</t>
  </si>
  <si>
    <t>GN Ramesh</t>
  </si>
  <si>
    <t>071-17-000017</t>
  </si>
  <si>
    <t>Improvments to drains at 5th main and 3rd cross in sanjeevininagara 1st stage near Neelakshnteshwara temple in Hegganahalli ward no 71 Hegganahalli Sud division</t>
  </si>
  <si>
    <t>071-18-000115</t>
  </si>
  <si>
    <t xml:space="preserve">Providing Pathway around Indira Canteen In ward No.71 </t>
  </si>
  <si>
    <t>Indira Canteen</t>
  </si>
  <si>
    <t>Yogananda BM</t>
  </si>
  <si>
    <t>071-18-000110</t>
  </si>
  <si>
    <t xml:space="preserve">Constrution of Embackment and site preparation to Indira Canteen in ward no.71 </t>
  </si>
  <si>
    <t>Basavarajaiah MC</t>
  </si>
  <si>
    <t>071-17-000010</t>
  </si>
  <si>
    <t>Improvements to drains and roads at 7th main and its cross road between Hegganahalli main road and Neelaksnteshwara temple road in Hegganahalli ward no 71 Hegganahalli Sud division</t>
  </si>
  <si>
    <t>071-17-000009</t>
  </si>
  <si>
    <t>Improvements to drains and roads at 2nd A cross Lakshmana nagara Kadlekayammas house road (near 13th crosss) and 8th cross (ANPH store opp)of Sanjeevininagara 3rd stage in Hegganahalli ward no 71 Hegganahalli Sud division</t>
  </si>
  <si>
    <t>071-17-000015</t>
  </si>
  <si>
    <t>Improvments to drains and road beside RES polytechnic and surrounding road in Gajanananagara in Hegganahalli ward no 71 Hegganahalli Sud division</t>
  </si>
  <si>
    <t>071-17-000018</t>
  </si>
  <si>
    <t>Providing Name boards in Hegganahalli in ward no 71 Heganahalli Sub division</t>
  </si>
  <si>
    <t>N THIPPESWAMY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</si>
</sst>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pane ySplit="1" topLeftCell="A2" activePane="bottomLeft" state="frozen"/>
      <selection activeCell="H1" sqref="H1"/>
      <selection pane="bottomLeft" activeCell="A2" sqref="A2:XFD5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67</v>
      </c>
      <c r="B2" s="9" t="s">
        <v>33</v>
      </c>
      <c r="C2" s="10">
        <v>43194</v>
      </c>
      <c r="D2" s="11">
        <v>71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"000004"</f>
        <v>000004</v>
      </c>
      <c r="M2" s="10">
        <v>42630</v>
      </c>
      <c r="N2" s="11" t="str">
        <f>"000005"</f>
        <v>000005</v>
      </c>
      <c r="O2" s="10">
        <v>43133</v>
      </c>
      <c r="P2" s="11" t="str">
        <f>"000005"</f>
        <v>000005</v>
      </c>
      <c r="Q2" s="10">
        <v>43133</v>
      </c>
      <c r="R2" s="11">
        <v>17</v>
      </c>
      <c r="S2" s="11" t="str">
        <f>"010761"</f>
        <v>010761</v>
      </c>
      <c r="T2" s="10">
        <v>43182</v>
      </c>
      <c r="U2" s="14">
        <v>9.49</v>
      </c>
      <c r="V2" s="14">
        <v>0.94899999999999995</v>
      </c>
      <c r="W2" s="14">
        <v>8.5410000000000004</v>
      </c>
      <c r="X2" s="11">
        <v>1</v>
      </c>
      <c r="Y2" s="10">
        <v>43194</v>
      </c>
      <c r="Z2" s="11">
        <v>9986551818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9.4899999999999998E-2</v>
      </c>
      <c r="AG2" s="11" t="s">
        <v>44</v>
      </c>
    </row>
    <row r="3" spans="1:33" x14ac:dyDescent="0.2">
      <c r="A3" s="8">
        <v>68</v>
      </c>
      <c r="B3" s="9" t="s">
        <v>33</v>
      </c>
      <c r="C3" s="10">
        <v>43194</v>
      </c>
      <c r="D3" s="11">
        <v>71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"000177"</f>
        <v>000177</v>
      </c>
      <c r="M3" s="10">
        <v>43104</v>
      </c>
      <c r="N3" s="11" t="str">
        <f>"000016"</f>
        <v>000016</v>
      </c>
      <c r="O3" s="10">
        <v>43143</v>
      </c>
      <c r="P3" s="11" t="str">
        <f>"000100"</f>
        <v>000100</v>
      </c>
      <c r="Q3" s="10">
        <v>43151</v>
      </c>
      <c r="R3" s="11">
        <v>17</v>
      </c>
      <c r="S3" s="11" t="str">
        <f>"000035"</f>
        <v>000035</v>
      </c>
      <c r="T3" s="10">
        <v>43191</v>
      </c>
      <c r="U3" s="14">
        <v>38.10134</v>
      </c>
      <c r="V3" s="14">
        <v>1.2763899999999999</v>
      </c>
      <c r="W3" s="14">
        <v>36.824950000000001</v>
      </c>
      <c r="X3" s="11">
        <v>1</v>
      </c>
      <c r="Y3" s="10">
        <v>43194</v>
      </c>
      <c r="Z3" s="11">
        <v>8553628676</v>
      </c>
      <c r="AA3" s="12" t="s">
        <v>48</v>
      </c>
      <c r="AB3" s="11" t="s">
        <v>49</v>
      </c>
      <c r="AC3" s="12" t="s">
        <v>50</v>
      </c>
      <c r="AD3" s="11" t="s">
        <v>51</v>
      </c>
      <c r="AE3" s="12" t="s">
        <v>52</v>
      </c>
      <c r="AF3" s="14">
        <v>0.3810134</v>
      </c>
      <c r="AG3" s="11" t="s">
        <v>44</v>
      </c>
    </row>
    <row r="4" spans="1:33" x14ac:dyDescent="0.2">
      <c r="A4" s="8">
        <v>69</v>
      </c>
      <c r="B4" s="9" t="s">
        <v>33</v>
      </c>
      <c r="C4" s="10">
        <v>43194</v>
      </c>
      <c r="D4" s="11">
        <v>71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36</v>
      </c>
      <c r="J4" s="12" t="s">
        <v>37</v>
      </c>
      <c r="K4" s="13" t="s">
        <v>38</v>
      </c>
      <c r="L4" s="11" t="str">
        <f>"000004"</f>
        <v>000004</v>
      </c>
      <c r="M4" s="10">
        <v>42630</v>
      </c>
      <c r="N4" s="11" t="str">
        <f>"000005"</f>
        <v>000005</v>
      </c>
      <c r="O4" s="10">
        <v>43133</v>
      </c>
      <c r="P4" s="11" t="str">
        <f>"000005"</f>
        <v>000005</v>
      </c>
      <c r="Q4" s="10">
        <v>43133</v>
      </c>
      <c r="R4" s="11">
        <v>17</v>
      </c>
      <c r="S4" s="11" t="str">
        <f>"010761"</f>
        <v>010761</v>
      </c>
      <c r="T4" s="10">
        <v>43182</v>
      </c>
      <c r="U4" s="14">
        <v>378.06635999999997</v>
      </c>
      <c r="V4" s="14">
        <v>15.4352</v>
      </c>
      <c r="W4" s="14">
        <v>362.63116000000002</v>
      </c>
      <c r="X4" s="11">
        <v>1</v>
      </c>
      <c r="Y4" s="10">
        <v>43194</v>
      </c>
      <c r="Z4" s="11">
        <v>9886014403</v>
      </c>
      <c r="AA4" s="12" t="s">
        <v>53</v>
      </c>
      <c r="AB4" s="11" t="s">
        <v>40</v>
      </c>
      <c r="AC4" s="12" t="s">
        <v>41</v>
      </c>
      <c r="AD4" s="11" t="s">
        <v>42</v>
      </c>
      <c r="AE4" s="12" t="s">
        <v>43</v>
      </c>
      <c r="AF4" s="14">
        <v>3.7806635999999996</v>
      </c>
      <c r="AG4" s="11" t="s">
        <v>44</v>
      </c>
    </row>
    <row r="5" spans="1:33" x14ac:dyDescent="0.2">
      <c r="A5" s="8">
        <v>70</v>
      </c>
      <c r="B5" s="9" t="s">
        <v>33</v>
      </c>
      <c r="C5" s="10">
        <v>43194</v>
      </c>
      <c r="D5" s="11">
        <v>71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54</v>
      </c>
      <c r="J5" s="12" t="s">
        <v>55</v>
      </c>
      <c r="K5" s="13" t="s">
        <v>47</v>
      </c>
      <c r="L5" s="11" t="str">
        <f>"000211"</f>
        <v>000211</v>
      </c>
      <c r="M5" s="10">
        <v>43134</v>
      </c>
      <c r="N5" s="11" t="str">
        <f>"000018"</f>
        <v>000018</v>
      </c>
      <c r="O5" s="10">
        <v>43150</v>
      </c>
      <c r="P5" s="11" t="str">
        <f>"000117"</f>
        <v>000117</v>
      </c>
      <c r="Q5" s="10">
        <v>43160</v>
      </c>
      <c r="R5" s="11">
        <v>17</v>
      </c>
      <c r="S5" s="11" t="str">
        <f>"000126"</f>
        <v>000126</v>
      </c>
      <c r="T5" s="10">
        <v>43192</v>
      </c>
      <c r="U5" s="14">
        <v>38.12538</v>
      </c>
      <c r="V5" s="14">
        <v>1.27719</v>
      </c>
      <c r="W5" s="14">
        <v>36.848190000000002</v>
      </c>
      <c r="X5" s="11">
        <v>1</v>
      </c>
      <c r="Y5" s="10">
        <v>43194</v>
      </c>
      <c r="Z5" s="11">
        <v>9845937211</v>
      </c>
      <c r="AA5" s="12" t="s">
        <v>56</v>
      </c>
      <c r="AB5" s="11" t="s">
        <v>49</v>
      </c>
      <c r="AC5" s="12" t="s">
        <v>50</v>
      </c>
      <c r="AD5" s="11" t="s">
        <v>51</v>
      </c>
      <c r="AE5" s="12" t="s">
        <v>52</v>
      </c>
      <c r="AF5" s="14">
        <v>0.38125379999999998</v>
      </c>
      <c r="AG5" s="11" t="s">
        <v>44</v>
      </c>
    </row>
    <row r="6" spans="1:33" x14ac:dyDescent="0.2">
      <c r="A6" s="8">
        <v>381</v>
      </c>
      <c r="B6" s="9" t="s">
        <v>33</v>
      </c>
      <c r="C6" s="10">
        <v>43200</v>
      </c>
      <c r="D6" s="11">
        <v>71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57</v>
      </c>
      <c r="J6" s="12" t="s">
        <v>58</v>
      </c>
      <c r="K6" s="13" t="s">
        <v>47</v>
      </c>
      <c r="L6" s="11" t="str">
        <f>"000095"</f>
        <v>000095</v>
      </c>
      <c r="M6" s="10">
        <v>43059</v>
      </c>
      <c r="N6" s="11" t="str">
        <f>"000035"</f>
        <v>000035</v>
      </c>
      <c r="O6" s="10">
        <v>43174</v>
      </c>
      <c r="P6" s="11" t="str">
        <f>"000127"</f>
        <v>000127</v>
      </c>
      <c r="Q6" s="10">
        <v>43176</v>
      </c>
      <c r="R6" s="11">
        <v>18</v>
      </c>
      <c r="S6" s="11" t="str">
        <f>"000288"</f>
        <v>000288</v>
      </c>
      <c r="T6" s="10">
        <v>43195</v>
      </c>
      <c r="U6" s="14">
        <v>49.970010000000002</v>
      </c>
      <c r="V6" s="14">
        <v>4.7456899999999997</v>
      </c>
      <c r="W6" s="14">
        <v>45.224319999999999</v>
      </c>
      <c r="X6" s="11">
        <v>12</v>
      </c>
      <c r="Y6" s="10">
        <v>43200</v>
      </c>
      <c r="Z6" s="11">
        <v>9449219009</v>
      </c>
      <c r="AA6" s="12" t="s">
        <v>59</v>
      </c>
      <c r="AB6" s="11" t="s">
        <v>60</v>
      </c>
      <c r="AC6" s="12" t="s">
        <v>61</v>
      </c>
      <c r="AD6" s="11" t="s">
        <v>51</v>
      </c>
      <c r="AE6" s="12" t="s">
        <v>52</v>
      </c>
      <c r="AF6" s="14">
        <v>0.49970010000000004</v>
      </c>
      <c r="AG6" s="11" t="s">
        <v>44</v>
      </c>
    </row>
    <row r="7" spans="1:33" x14ac:dyDescent="0.2">
      <c r="A7" s="8">
        <v>521</v>
      </c>
      <c r="B7" s="9" t="s">
        <v>33</v>
      </c>
      <c r="C7" s="10">
        <v>43203</v>
      </c>
      <c r="D7" s="11">
        <v>71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62</v>
      </c>
      <c r="J7" s="12" t="s">
        <v>63</v>
      </c>
      <c r="K7" s="13" t="s">
        <v>64</v>
      </c>
      <c r="L7" s="11" t="str">
        <f>"000020"</f>
        <v>000020</v>
      </c>
      <c r="M7" s="10">
        <v>42739</v>
      </c>
      <c r="N7" s="11" t="str">
        <f>"000017"</f>
        <v>000017</v>
      </c>
      <c r="O7" s="10">
        <v>42704</v>
      </c>
      <c r="P7" s="11" t="str">
        <f>"000008"</f>
        <v>000008</v>
      </c>
      <c r="Q7" s="10">
        <v>42725</v>
      </c>
      <c r="R7" s="11">
        <v>15</v>
      </c>
      <c r="S7" s="11" t="str">
        <f>"000390"</f>
        <v>000390</v>
      </c>
      <c r="T7" s="10">
        <v>43197</v>
      </c>
      <c r="U7" s="14">
        <v>5.9581499999999998</v>
      </c>
      <c r="V7" s="14">
        <v>0.72097</v>
      </c>
      <c r="W7" s="14">
        <v>5.2371800000000004</v>
      </c>
      <c r="X7" s="11">
        <v>20</v>
      </c>
      <c r="Y7" s="10">
        <v>43203</v>
      </c>
      <c r="Z7" s="11">
        <v>7899124601</v>
      </c>
      <c r="AA7" s="12" t="s">
        <v>59</v>
      </c>
      <c r="AB7" s="11" t="s">
        <v>65</v>
      </c>
      <c r="AC7" s="12" t="s">
        <v>66</v>
      </c>
      <c r="AD7" s="11" t="s">
        <v>67</v>
      </c>
      <c r="AE7" s="12" t="s">
        <v>68</v>
      </c>
      <c r="AF7" s="14">
        <v>5.9581499999999996E-2</v>
      </c>
      <c r="AG7" s="11" t="s">
        <v>44</v>
      </c>
    </row>
    <row r="8" spans="1:33" x14ac:dyDescent="0.2">
      <c r="A8" s="8">
        <v>580</v>
      </c>
      <c r="B8" s="9" t="s">
        <v>33</v>
      </c>
      <c r="C8" s="10">
        <v>43213</v>
      </c>
      <c r="D8" s="11">
        <v>71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69</v>
      </c>
      <c r="J8" s="12" t="s">
        <v>70</v>
      </c>
      <c r="K8" s="13" t="s">
        <v>47</v>
      </c>
      <c r="L8" s="11" t="str">
        <f>"000090"</f>
        <v>000090</v>
      </c>
      <c r="M8" s="10">
        <v>43059</v>
      </c>
      <c r="N8" s="11" t="str">
        <f>"000036"</f>
        <v>000036</v>
      </c>
      <c r="O8" s="10">
        <v>43174</v>
      </c>
      <c r="P8" s="11" t="str">
        <f>"000128"</f>
        <v>000128</v>
      </c>
      <c r="Q8" s="10">
        <v>43176</v>
      </c>
      <c r="R8" s="11">
        <v>18</v>
      </c>
      <c r="S8" s="11" t="str">
        <f>"000568"</f>
        <v>000568</v>
      </c>
      <c r="T8" s="10">
        <v>43203</v>
      </c>
      <c r="U8" s="14">
        <v>49.930390000000003</v>
      </c>
      <c r="V8" s="14">
        <v>4.7435400000000003</v>
      </c>
      <c r="W8" s="14">
        <v>45.18685</v>
      </c>
      <c r="X8" s="11">
        <v>21</v>
      </c>
      <c r="Y8" s="10">
        <v>43213</v>
      </c>
      <c r="Z8" s="11">
        <v>9449219009</v>
      </c>
      <c r="AA8" s="12" t="s">
        <v>59</v>
      </c>
      <c r="AB8" s="11" t="s">
        <v>60</v>
      </c>
      <c r="AC8" s="12" t="s">
        <v>61</v>
      </c>
      <c r="AD8" s="11" t="s">
        <v>51</v>
      </c>
      <c r="AE8" s="12" t="s">
        <v>52</v>
      </c>
      <c r="AF8" s="14">
        <v>0.49930390000000002</v>
      </c>
      <c r="AG8" s="11" t="s">
        <v>44</v>
      </c>
    </row>
    <row r="9" spans="1:33" x14ac:dyDescent="0.2">
      <c r="A9" s="8">
        <v>1185</v>
      </c>
      <c r="B9" s="9" t="s">
        <v>71</v>
      </c>
      <c r="C9" s="10">
        <v>43238</v>
      </c>
      <c r="D9" s="11">
        <v>71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72</v>
      </c>
      <c r="J9" s="12" t="s">
        <v>73</v>
      </c>
      <c r="K9" s="13" t="s">
        <v>74</v>
      </c>
      <c r="L9" s="11" t="str">
        <f>"000068"</f>
        <v>000068</v>
      </c>
      <c r="M9" s="10">
        <v>42453</v>
      </c>
      <c r="N9" s="11" t="str">
        <f>"000023"</f>
        <v>000023</v>
      </c>
      <c r="O9" s="10">
        <v>42550</v>
      </c>
      <c r="P9" s="11" t="str">
        <f>"000234"</f>
        <v>000234</v>
      </c>
      <c r="Q9" s="10">
        <v>42557</v>
      </c>
      <c r="R9" s="11">
        <v>16</v>
      </c>
      <c r="S9" s="11" t="str">
        <f>"001403"</f>
        <v>001403</v>
      </c>
      <c r="T9" s="10">
        <v>43236</v>
      </c>
      <c r="U9" s="14">
        <v>13.55217</v>
      </c>
      <c r="V9" s="14">
        <v>0.97658</v>
      </c>
      <c r="W9" s="14">
        <v>12.57559</v>
      </c>
      <c r="X9" s="11">
        <v>52</v>
      </c>
      <c r="Y9" s="10">
        <v>43238</v>
      </c>
      <c r="Z9" s="11">
        <v>9916161644</v>
      </c>
      <c r="AA9" s="12" t="s">
        <v>75</v>
      </c>
      <c r="AB9" s="11" t="s">
        <v>76</v>
      </c>
      <c r="AC9" s="12" t="s">
        <v>77</v>
      </c>
      <c r="AD9" s="11" t="s">
        <v>51</v>
      </c>
      <c r="AE9" s="12" t="s">
        <v>52</v>
      </c>
      <c r="AF9" s="14">
        <v>0.13552169999999999</v>
      </c>
      <c r="AG9" s="11" t="s">
        <v>44</v>
      </c>
    </row>
    <row r="10" spans="1:33" x14ac:dyDescent="0.2">
      <c r="A10" s="8">
        <v>1312</v>
      </c>
      <c r="B10" s="9" t="s">
        <v>71</v>
      </c>
      <c r="C10" s="10">
        <v>43241</v>
      </c>
      <c r="D10" s="11">
        <v>71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78</v>
      </c>
      <c r="J10" s="12" t="s">
        <v>79</v>
      </c>
      <c r="K10" s="13" t="s">
        <v>80</v>
      </c>
      <c r="L10" s="11" t="str">
        <f>"000106"</f>
        <v>000106</v>
      </c>
      <c r="M10" s="10">
        <v>43075</v>
      </c>
      <c r="N10" s="11" t="str">
        <f>"000001"</f>
        <v>000001</v>
      </c>
      <c r="O10" s="10">
        <v>43197</v>
      </c>
      <c r="P10" s="11" t="str">
        <f>"000007"</f>
        <v>000007</v>
      </c>
      <c r="Q10" s="10">
        <v>43199</v>
      </c>
      <c r="R10" s="11">
        <v>17</v>
      </c>
      <c r="S10" s="11" t="str">
        <f>"001678"</f>
        <v>001678</v>
      </c>
      <c r="T10" s="10">
        <v>43239</v>
      </c>
      <c r="U10" s="14">
        <v>9.8927399999999999</v>
      </c>
      <c r="V10" s="14">
        <v>0.21625</v>
      </c>
      <c r="W10" s="14">
        <v>9.6764899999999994</v>
      </c>
      <c r="X10" s="11">
        <v>56</v>
      </c>
      <c r="Y10" s="10">
        <v>43241</v>
      </c>
      <c r="Z10" s="11">
        <v>9900175940</v>
      </c>
      <c r="AA10" s="12" t="s">
        <v>81</v>
      </c>
      <c r="AB10" s="11" t="s">
        <v>82</v>
      </c>
      <c r="AC10" s="12" t="s">
        <v>83</v>
      </c>
      <c r="AD10" s="11" t="s">
        <v>51</v>
      </c>
      <c r="AE10" s="12" t="s">
        <v>52</v>
      </c>
      <c r="AF10" s="14">
        <v>9.8927399999999999E-2</v>
      </c>
      <c r="AG10" s="11" t="s">
        <v>84</v>
      </c>
    </row>
    <row r="11" spans="1:33" x14ac:dyDescent="0.2">
      <c r="A11" s="8">
        <v>1430</v>
      </c>
      <c r="B11" s="9" t="s">
        <v>71</v>
      </c>
      <c r="C11" s="10">
        <v>43242</v>
      </c>
      <c r="D11" s="11">
        <v>71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85</v>
      </c>
      <c r="J11" s="12" t="s">
        <v>86</v>
      </c>
      <c r="K11" s="13" t="s">
        <v>38</v>
      </c>
      <c r="L11" s="11" t="str">
        <f>"000074"</f>
        <v>000074</v>
      </c>
      <c r="M11" s="10">
        <v>42630</v>
      </c>
      <c r="N11" s="11" t="str">
        <f>"000095"</f>
        <v>000095</v>
      </c>
      <c r="O11" s="10">
        <v>42632</v>
      </c>
      <c r="P11" s="11" t="str">
        <f>"000500"</f>
        <v>000500</v>
      </c>
      <c r="Q11" s="10">
        <v>42671</v>
      </c>
      <c r="R11" s="11">
        <v>17</v>
      </c>
      <c r="S11" s="11" t="str">
        <f>"001539"</f>
        <v>001539</v>
      </c>
      <c r="T11" s="10">
        <v>43238</v>
      </c>
      <c r="U11" s="14">
        <v>14.795120000000001</v>
      </c>
      <c r="V11" s="14">
        <v>1.92564</v>
      </c>
      <c r="W11" s="14">
        <v>12.869479999999999</v>
      </c>
      <c r="X11" s="11">
        <v>59</v>
      </c>
      <c r="Y11" s="10">
        <v>43242</v>
      </c>
      <c r="Z11" s="11">
        <v>9845106083</v>
      </c>
      <c r="AA11" s="12" t="s">
        <v>59</v>
      </c>
      <c r="AB11" s="11" t="s">
        <v>87</v>
      </c>
      <c r="AC11" s="12" t="s">
        <v>88</v>
      </c>
      <c r="AD11" s="11" t="s">
        <v>51</v>
      </c>
      <c r="AE11" s="12" t="s">
        <v>52</v>
      </c>
      <c r="AF11" s="14">
        <v>0.1479512</v>
      </c>
      <c r="AG11" s="11" t="s">
        <v>44</v>
      </c>
    </row>
    <row r="12" spans="1:33" x14ac:dyDescent="0.2">
      <c r="A12" s="8">
        <v>1514</v>
      </c>
      <c r="B12" s="9" t="s">
        <v>71</v>
      </c>
      <c r="C12" s="10">
        <v>43251</v>
      </c>
      <c r="D12" s="11">
        <v>71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89</v>
      </c>
      <c r="J12" s="12" t="s">
        <v>90</v>
      </c>
      <c r="K12" s="13" t="s">
        <v>74</v>
      </c>
      <c r="L12" s="11" t="str">
        <f>"000069"</f>
        <v>000069</v>
      </c>
      <c r="M12" s="10">
        <v>42453</v>
      </c>
      <c r="N12" s="11" t="str">
        <f>"000054"</f>
        <v>000054</v>
      </c>
      <c r="O12" s="10">
        <v>42611</v>
      </c>
      <c r="P12" s="11" t="str">
        <f>"000394"</f>
        <v>000394</v>
      </c>
      <c r="Q12" s="10">
        <v>42612</v>
      </c>
      <c r="R12" s="11">
        <v>16</v>
      </c>
      <c r="S12" s="11" t="str">
        <f>"001694"</f>
        <v>001694</v>
      </c>
      <c r="T12" s="10">
        <v>43242</v>
      </c>
      <c r="U12" s="14">
        <v>13.58414</v>
      </c>
      <c r="V12" s="14">
        <v>0.97850000000000004</v>
      </c>
      <c r="W12" s="14">
        <v>12.605639999999999</v>
      </c>
      <c r="X12" s="11">
        <v>67</v>
      </c>
      <c r="Y12" s="10">
        <v>43251</v>
      </c>
      <c r="Z12" s="11">
        <v>9889219009</v>
      </c>
      <c r="AA12" s="12" t="s">
        <v>91</v>
      </c>
      <c r="AB12" s="11" t="s">
        <v>76</v>
      </c>
      <c r="AC12" s="12" t="s">
        <v>77</v>
      </c>
      <c r="AD12" s="11" t="s">
        <v>51</v>
      </c>
      <c r="AE12" s="12" t="s">
        <v>52</v>
      </c>
      <c r="AF12" s="14">
        <v>0.1358414</v>
      </c>
      <c r="AG12" s="11" t="s">
        <v>44</v>
      </c>
    </row>
    <row r="13" spans="1:33" x14ac:dyDescent="0.2">
      <c r="A13" s="8">
        <v>1791</v>
      </c>
      <c r="B13" s="9" t="s">
        <v>92</v>
      </c>
      <c r="C13" s="10">
        <v>43257</v>
      </c>
      <c r="D13" s="11">
        <v>71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93</v>
      </c>
      <c r="J13" s="12" t="s">
        <v>94</v>
      </c>
      <c r="K13" s="13" t="s">
        <v>38</v>
      </c>
      <c r="L13" s="11" t="str">
        <f>"000295"</f>
        <v>000295</v>
      </c>
      <c r="M13" s="10">
        <v>43178</v>
      </c>
      <c r="N13" s="11" t="str">
        <f>"000010"</f>
        <v>000010</v>
      </c>
      <c r="O13" s="10">
        <v>43230</v>
      </c>
      <c r="P13" s="11" t="str">
        <f>"000043"</f>
        <v>000043</v>
      </c>
      <c r="Q13" s="10">
        <v>43230</v>
      </c>
      <c r="R13" s="11">
        <v>17</v>
      </c>
      <c r="S13" s="11" t="str">
        <f>"001856"</f>
        <v>001856</v>
      </c>
      <c r="T13" s="10">
        <v>43244</v>
      </c>
      <c r="U13" s="14">
        <v>366.04297000000003</v>
      </c>
      <c r="V13" s="14">
        <v>15.316000000000001</v>
      </c>
      <c r="W13" s="14">
        <v>350.72696999999999</v>
      </c>
      <c r="X13" s="11">
        <v>70</v>
      </c>
      <c r="Y13" s="10">
        <v>43257</v>
      </c>
      <c r="Z13" s="11">
        <v>9743188999</v>
      </c>
      <c r="AA13" s="12" t="s">
        <v>95</v>
      </c>
      <c r="AB13" s="11" t="s">
        <v>40</v>
      </c>
      <c r="AC13" s="12" t="s">
        <v>41</v>
      </c>
      <c r="AD13" s="11" t="s">
        <v>51</v>
      </c>
      <c r="AE13" s="12" t="s">
        <v>52</v>
      </c>
      <c r="AF13" s="14">
        <v>3.6604297000000003</v>
      </c>
      <c r="AG13" s="11" t="s">
        <v>84</v>
      </c>
    </row>
    <row r="14" spans="1:33" x14ac:dyDescent="0.2">
      <c r="A14" s="8">
        <v>1982</v>
      </c>
      <c r="B14" s="9" t="s">
        <v>92</v>
      </c>
      <c r="C14" s="10">
        <v>43258</v>
      </c>
      <c r="D14" s="11">
        <v>71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36</v>
      </c>
      <c r="J14" s="12" t="s">
        <v>37</v>
      </c>
      <c r="K14" s="13" t="s">
        <v>38</v>
      </c>
      <c r="L14" s="11" t="str">
        <f>"000004"</f>
        <v>000004</v>
      </c>
      <c r="M14" s="10">
        <v>42630</v>
      </c>
      <c r="N14" s="11" t="str">
        <f>"000005"</f>
        <v>000005</v>
      </c>
      <c r="O14" s="10">
        <v>43133</v>
      </c>
      <c r="P14" s="11" t="str">
        <f>"000005"</f>
        <v>000005</v>
      </c>
      <c r="Q14" s="10">
        <v>43133</v>
      </c>
      <c r="R14" s="11">
        <v>17</v>
      </c>
      <c r="S14" s="11" t="str">
        <f>"010761"</f>
        <v>010761</v>
      </c>
      <c r="T14" s="10">
        <v>43182</v>
      </c>
      <c r="U14" s="14">
        <v>336.49275</v>
      </c>
      <c r="V14" s="14">
        <v>17.181370000000001</v>
      </c>
      <c r="W14" s="14">
        <v>319.31137999999999</v>
      </c>
      <c r="X14" s="11">
        <v>78</v>
      </c>
      <c r="Y14" s="10">
        <v>43258</v>
      </c>
      <c r="Z14" s="11">
        <v>9886014403</v>
      </c>
      <c r="AA14" s="12" t="s">
        <v>53</v>
      </c>
      <c r="AB14" s="11" t="s">
        <v>40</v>
      </c>
      <c r="AC14" s="12" t="s">
        <v>41</v>
      </c>
      <c r="AD14" s="11" t="s">
        <v>42</v>
      </c>
      <c r="AE14" s="12" t="s">
        <v>43</v>
      </c>
      <c r="AF14" s="14">
        <v>3.3649274999999998</v>
      </c>
      <c r="AG14" s="11" t="s">
        <v>44</v>
      </c>
    </row>
    <row r="15" spans="1:33" x14ac:dyDescent="0.2">
      <c r="A15" s="8">
        <v>2089</v>
      </c>
      <c r="B15" s="9" t="s">
        <v>92</v>
      </c>
      <c r="C15" s="10">
        <v>43264</v>
      </c>
      <c r="D15" s="11">
        <v>71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96</v>
      </c>
      <c r="J15" s="12" t="s">
        <v>97</v>
      </c>
      <c r="K15" s="13" t="s">
        <v>47</v>
      </c>
      <c r="L15" s="11" t="str">
        <f>"000195"</f>
        <v>000195</v>
      </c>
      <c r="M15" s="10">
        <v>43119</v>
      </c>
      <c r="N15" s="11" t="str">
        <f>"000005"</f>
        <v>000005</v>
      </c>
      <c r="O15" s="10">
        <v>43220</v>
      </c>
      <c r="P15" s="11" t="str">
        <f>"000029"</f>
        <v>000029</v>
      </c>
      <c r="Q15" s="10">
        <v>43220</v>
      </c>
      <c r="R15" s="11">
        <v>17</v>
      </c>
      <c r="S15" s="11" t="str">
        <f>"002488"</f>
        <v>002488</v>
      </c>
      <c r="T15" s="10">
        <v>43264</v>
      </c>
      <c r="U15" s="14">
        <v>38.532870000000003</v>
      </c>
      <c r="V15" s="14">
        <v>1.4766300000000001</v>
      </c>
      <c r="W15" s="14">
        <v>37.056240000000003</v>
      </c>
      <c r="X15" s="11">
        <v>82</v>
      </c>
      <c r="Y15" s="10">
        <v>43264</v>
      </c>
      <c r="Z15" s="11">
        <v>9731165077</v>
      </c>
      <c r="AA15" s="12" t="s">
        <v>98</v>
      </c>
      <c r="AB15" s="11" t="s">
        <v>49</v>
      </c>
      <c r="AC15" s="12" t="s">
        <v>50</v>
      </c>
      <c r="AD15" s="11" t="s">
        <v>51</v>
      </c>
      <c r="AE15" s="12" t="s">
        <v>52</v>
      </c>
      <c r="AF15" s="14">
        <v>0.38532870000000002</v>
      </c>
      <c r="AG15" s="11" t="s">
        <v>84</v>
      </c>
    </row>
    <row r="16" spans="1:33" x14ac:dyDescent="0.2">
      <c r="A16" s="8">
        <v>2090</v>
      </c>
      <c r="B16" s="9" t="s">
        <v>92</v>
      </c>
      <c r="C16" s="10">
        <v>43264</v>
      </c>
      <c r="D16" s="11">
        <v>71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99</v>
      </c>
      <c r="J16" s="12" t="s">
        <v>100</v>
      </c>
      <c r="K16" s="13" t="s">
        <v>47</v>
      </c>
      <c r="L16" s="11" t="str">
        <f>"000196"</f>
        <v>000196</v>
      </c>
      <c r="M16" s="10">
        <v>43119</v>
      </c>
      <c r="N16" s="11" t="str">
        <f>"000006"</f>
        <v>000006</v>
      </c>
      <c r="O16" s="10">
        <v>43220</v>
      </c>
      <c r="P16" s="11" t="str">
        <f>"000030"</f>
        <v>000030</v>
      </c>
      <c r="Q16" s="10">
        <v>43220</v>
      </c>
      <c r="R16" s="11">
        <v>17</v>
      </c>
      <c r="S16" s="11" t="str">
        <f>"002489"</f>
        <v>002489</v>
      </c>
      <c r="T16" s="10">
        <v>43264</v>
      </c>
      <c r="U16" s="14">
        <v>39.664580000000001</v>
      </c>
      <c r="V16" s="14">
        <v>1.89517</v>
      </c>
      <c r="W16" s="14">
        <v>37.769410000000001</v>
      </c>
      <c r="X16" s="11">
        <v>82</v>
      </c>
      <c r="Y16" s="10">
        <v>43264</v>
      </c>
      <c r="Z16" s="11">
        <v>9731165077</v>
      </c>
      <c r="AA16" s="12" t="s">
        <v>98</v>
      </c>
      <c r="AB16" s="11" t="s">
        <v>49</v>
      </c>
      <c r="AC16" s="12" t="s">
        <v>50</v>
      </c>
      <c r="AD16" s="11" t="s">
        <v>51</v>
      </c>
      <c r="AE16" s="12" t="s">
        <v>52</v>
      </c>
      <c r="AF16" s="14">
        <v>0.39664579999999999</v>
      </c>
      <c r="AG16" s="11" t="s">
        <v>84</v>
      </c>
    </row>
    <row r="17" spans="1:33" x14ac:dyDescent="0.2">
      <c r="A17" s="8">
        <v>2173</v>
      </c>
      <c r="B17" s="9" t="s">
        <v>92</v>
      </c>
      <c r="C17" s="10">
        <v>43266</v>
      </c>
      <c r="D17" s="11">
        <v>71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101</v>
      </c>
      <c r="J17" s="12" t="s">
        <v>102</v>
      </c>
      <c r="K17" s="13" t="s">
        <v>47</v>
      </c>
      <c r="L17" s="11" t="str">
        <f>"000091"</f>
        <v>000091</v>
      </c>
      <c r="M17" s="10">
        <v>43059</v>
      </c>
      <c r="N17" s="11" t="str">
        <f>"000008"</f>
        <v>000008</v>
      </c>
      <c r="O17" s="10">
        <v>43225</v>
      </c>
      <c r="P17" s="11" t="str">
        <f>"000041"</f>
        <v>000041</v>
      </c>
      <c r="Q17" s="10">
        <v>43229</v>
      </c>
      <c r="R17" s="11">
        <v>18</v>
      </c>
      <c r="S17" s="11" t="str">
        <f>"002211"</f>
        <v>002211</v>
      </c>
      <c r="T17" s="10">
        <v>43257</v>
      </c>
      <c r="U17" s="14">
        <v>49.959879999999998</v>
      </c>
      <c r="V17" s="14">
        <v>4.4440799999999996</v>
      </c>
      <c r="W17" s="14">
        <v>45.515799999999999</v>
      </c>
      <c r="X17" s="11">
        <v>87</v>
      </c>
      <c r="Y17" s="10">
        <v>43266</v>
      </c>
      <c r="Z17" s="11">
        <v>9449219009</v>
      </c>
      <c r="AA17" s="12" t="s">
        <v>59</v>
      </c>
      <c r="AB17" s="11" t="s">
        <v>60</v>
      </c>
      <c r="AC17" s="12" t="s">
        <v>61</v>
      </c>
      <c r="AD17" s="11" t="s">
        <v>51</v>
      </c>
      <c r="AE17" s="12" t="s">
        <v>52</v>
      </c>
      <c r="AF17" s="14">
        <v>0.49959880000000001</v>
      </c>
      <c r="AG17" s="11" t="s">
        <v>84</v>
      </c>
    </row>
    <row r="18" spans="1:33" x14ac:dyDescent="0.2">
      <c r="A18" s="8">
        <v>2297</v>
      </c>
      <c r="B18" s="9" t="s">
        <v>92</v>
      </c>
      <c r="C18" s="10">
        <v>43269</v>
      </c>
      <c r="D18" s="11">
        <v>71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103</v>
      </c>
      <c r="J18" s="12" t="s">
        <v>104</v>
      </c>
      <c r="K18" s="13" t="s">
        <v>105</v>
      </c>
      <c r="L18" s="11" t="str">
        <f>"000097"</f>
        <v>000097</v>
      </c>
      <c r="M18" s="10">
        <v>42460</v>
      </c>
      <c r="N18" s="11" t="str">
        <f>"000093"</f>
        <v>000093</v>
      </c>
      <c r="O18" s="10">
        <v>42632</v>
      </c>
      <c r="P18" s="11" t="str">
        <f>"000447"</f>
        <v>000447</v>
      </c>
      <c r="Q18" s="10">
        <v>42642</v>
      </c>
      <c r="R18" s="11">
        <v>16</v>
      </c>
      <c r="S18" s="11" t="str">
        <f>"002585"</f>
        <v>002585</v>
      </c>
      <c r="T18" s="10">
        <v>43265</v>
      </c>
      <c r="U18" s="14">
        <v>16.197700000000001</v>
      </c>
      <c r="V18" s="14">
        <v>0.69193000000000005</v>
      </c>
      <c r="W18" s="14">
        <v>15.50577</v>
      </c>
      <c r="X18" s="11">
        <v>90</v>
      </c>
      <c r="Y18" s="10">
        <v>43269</v>
      </c>
      <c r="Z18" s="11">
        <v>9845937211</v>
      </c>
      <c r="AA18" s="12" t="s">
        <v>106</v>
      </c>
      <c r="AB18" s="11" t="s">
        <v>76</v>
      </c>
      <c r="AC18" s="12" t="s">
        <v>77</v>
      </c>
      <c r="AD18" s="11" t="s">
        <v>51</v>
      </c>
      <c r="AE18" s="12" t="s">
        <v>52</v>
      </c>
      <c r="AF18" s="14">
        <v>0.16197700000000001</v>
      </c>
      <c r="AG18" s="11" t="s">
        <v>44</v>
      </c>
    </row>
    <row r="19" spans="1:33" x14ac:dyDescent="0.2">
      <c r="A19" s="8">
        <v>2298</v>
      </c>
      <c r="B19" s="9" t="s">
        <v>92</v>
      </c>
      <c r="C19" s="10">
        <v>43269</v>
      </c>
      <c r="D19" s="11">
        <v>71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107</v>
      </c>
      <c r="J19" s="12" t="s">
        <v>108</v>
      </c>
      <c r="K19" s="13" t="s">
        <v>47</v>
      </c>
      <c r="L19" s="11" t="str">
        <f>"000092"</f>
        <v>000092</v>
      </c>
      <c r="M19" s="10">
        <v>43059</v>
      </c>
      <c r="N19" s="11" t="str">
        <f>"000007"</f>
        <v>000007</v>
      </c>
      <c r="O19" s="10">
        <v>43225</v>
      </c>
      <c r="P19" s="11" t="str">
        <f>"000042"</f>
        <v>000042</v>
      </c>
      <c r="Q19" s="10">
        <v>43229</v>
      </c>
      <c r="R19" s="11">
        <v>18</v>
      </c>
      <c r="S19" s="11" t="str">
        <f>"002214"</f>
        <v>002214</v>
      </c>
      <c r="T19" s="10">
        <v>43257</v>
      </c>
      <c r="U19" s="14">
        <v>49.892879999999998</v>
      </c>
      <c r="V19" s="14">
        <v>4.25631</v>
      </c>
      <c r="W19" s="14">
        <v>45.636569999999999</v>
      </c>
      <c r="X19" s="11">
        <v>93</v>
      </c>
      <c r="Y19" s="10">
        <v>43269</v>
      </c>
      <c r="Z19" s="11">
        <v>9449219009</v>
      </c>
      <c r="AA19" s="12" t="s">
        <v>59</v>
      </c>
      <c r="AB19" s="11" t="s">
        <v>60</v>
      </c>
      <c r="AC19" s="12" t="s">
        <v>61</v>
      </c>
      <c r="AD19" s="11" t="s">
        <v>51</v>
      </c>
      <c r="AE19" s="12" t="s">
        <v>52</v>
      </c>
      <c r="AF19" s="14">
        <v>0.49892880000000001</v>
      </c>
      <c r="AG19" s="11" t="s">
        <v>84</v>
      </c>
    </row>
    <row r="20" spans="1:33" x14ac:dyDescent="0.2">
      <c r="A20" s="8">
        <v>2706</v>
      </c>
      <c r="B20" s="9" t="s">
        <v>92</v>
      </c>
      <c r="C20" s="10">
        <v>43278</v>
      </c>
      <c r="D20" s="11">
        <v>71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109</v>
      </c>
      <c r="J20" s="12" t="s">
        <v>110</v>
      </c>
      <c r="K20" s="13" t="s">
        <v>47</v>
      </c>
      <c r="L20" s="11" t="str">
        <f>"000412"</f>
        <v>000412</v>
      </c>
      <c r="M20" s="10">
        <v>42094</v>
      </c>
      <c r="N20" s="11" t="str">
        <f>"000096"</f>
        <v>000096</v>
      </c>
      <c r="O20" s="10">
        <v>42632</v>
      </c>
      <c r="P20" s="11" t="str">
        <f>"000501"</f>
        <v>000501</v>
      </c>
      <c r="Q20" s="10">
        <v>42671</v>
      </c>
      <c r="R20" s="11">
        <v>15</v>
      </c>
      <c r="S20" s="11" t="str">
        <f>"002905"</f>
        <v>002905</v>
      </c>
      <c r="T20" s="10">
        <v>43276</v>
      </c>
      <c r="U20" s="14">
        <v>19.496400000000001</v>
      </c>
      <c r="V20" s="14">
        <v>2.5684</v>
      </c>
      <c r="W20" s="14">
        <v>16.928000000000001</v>
      </c>
      <c r="X20" s="11">
        <v>103</v>
      </c>
      <c r="Y20" s="10">
        <v>43278</v>
      </c>
      <c r="Z20" s="11">
        <v>9889219009</v>
      </c>
      <c r="AA20" s="12" t="s">
        <v>59</v>
      </c>
      <c r="AB20" s="11" t="s">
        <v>111</v>
      </c>
      <c r="AC20" s="12" t="s">
        <v>112</v>
      </c>
      <c r="AD20" s="11" t="s">
        <v>51</v>
      </c>
      <c r="AE20" s="12" t="s">
        <v>52</v>
      </c>
      <c r="AF20" s="14">
        <v>0.19496400000000003</v>
      </c>
      <c r="AG20" s="11" t="s">
        <v>44</v>
      </c>
    </row>
    <row r="21" spans="1:33" x14ac:dyDescent="0.2">
      <c r="A21" s="8">
        <v>2849</v>
      </c>
      <c r="B21" s="9" t="s">
        <v>113</v>
      </c>
      <c r="C21" s="10">
        <v>43283</v>
      </c>
      <c r="D21" s="11">
        <v>71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114</v>
      </c>
      <c r="J21" s="12" t="s">
        <v>115</v>
      </c>
      <c r="K21" s="13" t="s">
        <v>47</v>
      </c>
      <c r="L21" s="11" t="str">
        <f>"000436"</f>
        <v>000436</v>
      </c>
      <c r="M21" s="10">
        <v>41341</v>
      </c>
      <c r="N21" s="11" t="str">
        <f>"000094"</f>
        <v>000094</v>
      </c>
      <c r="O21" s="10">
        <v>42632</v>
      </c>
      <c r="P21" s="11" t="str">
        <f>"000486"</f>
        <v>000486</v>
      </c>
      <c r="Q21" s="10">
        <v>42669</v>
      </c>
      <c r="R21" s="11">
        <v>13</v>
      </c>
      <c r="S21" s="11" t="str">
        <f>"003146"</f>
        <v>003146</v>
      </c>
      <c r="T21" s="10">
        <v>43280</v>
      </c>
      <c r="U21" s="14">
        <v>19.69633</v>
      </c>
      <c r="V21" s="14">
        <v>2.6153</v>
      </c>
      <c r="W21" s="14">
        <v>17.081029999999998</v>
      </c>
      <c r="X21" s="11">
        <v>106</v>
      </c>
      <c r="Y21" s="10">
        <v>43283</v>
      </c>
      <c r="Z21" s="11">
        <v>9731223456</v>
      </c>
      <c r="AA21" s="12" t="s">
        <v>59</v>
      </c>
      <c r="AB21" s="11" t="s">
        <v>116</v>
      </c>
      <c r="AC21" s="12" t="s">
        <v>117</v>
      </c>
      <c r="AD21" s="11" t="s">
        <v>51</v>
      </c>
      <c r="AE21" s="12" t="s">
        <v>52</v>
      </c>
      <c r="AF21" s="14">
        <v>0.19696330000000001</v>
      </c>
      <c r="AG21" s="11" t="s">
        <v>44</v>
      </c>
    </row>
    <row r="22" spans="1:33" x14ac:dyDescent="0.2">
      <c r="A22" s="8">
        <v>2850</v>
      </c>
      <c r="B22" s="9" t="s">
        <v>113</v>
      </c>
      <c r="C22" s="10">
        <v>43283</v>
      </c>
      <c r="D22" s="11">
        <v>71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118</v>
      </c>
      <c r="J22" s="12" t="s">
        <v>119</v>
      </c>
      <c r="K22" s="13" t="s">
        <v>74</v>
      </c>
      <c r="L22" s="11" t="str">
        <f>"00016A"</f>
        <v>00016A</v>
      </c>
      <c r="M22" s="10">
        <v>42797</v>
      </c>
      <c r="N22" s="11" t="str">
        <f>"000056"</f>
        <v>000056</v>
      </c>
      <c r="O22" s="10">
        <v>42819</v>
      </c>
      <c r="P22" s="11" t="str">
        <f>"000062"</f>
        <v>000062</v>
      </c>
      <c r="Q22" s="10">
        <v>42825</v>
      </c>
      <c r="R22" s="11">
        <v>17</v>
      </c>
      <c r="S22" s="11" t="str">
        <f>"002887"</f>
        <v>002887</v>
      </c>
      <c r="T22" s="10">
        <v>43276</v>
      </c>
      <c r="U22" s="14">
        <v>19.282209999999999</v>
      </c>
      <c r="V22" s="14">
        <v>2.3332099999999998</v>
      </c>
      <c r="W22" s="14">
        <v>16.949000000000002</v>
      </c>
      <c r="X22" s="11">
        <v>108</v>
      </c>
      <c r="Y22" s="10">
        <v>43283</v>
      </c>
      <c r="Z22" s="11">
        <v>9986313631</v>
      </c>
      <c r="AA22" s="12" t="s">
        <v>120</v>
      </c>
      <c r="AB22" s="11" t="s">
        <v>121</v>
      </c>
      <c r="AC22" s="12" t="s">
        <v>122</v>
      </c>
      <c r="AD22" s="11" t="s">
        <v>123</v>
      </c>
      <c r="AE22" s="12" t="s">
        <v>124</v>
      </c>
      <c r="AF22" s="14">
        <v>0.1928221</v>
      </c>
      <c r="AG22" s="11" t="s">
        <v>44</v>
      </c>
    </row>
    <row r="23" spans="1:33" x14ac:dyDescent="0.2">
      <c r="A23" s="8">
        <v>3498</v>
      </c>
      <c r="B23" s="9" t="s">
        <v>113</v>
      </c>
      <c r="C23" s="10">
        <v>43299</v>
      </c>
      <c r="D23" s="11">
        <v>71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125</v>
      </c>
      <c r="J23" s="12" t="s">
        <v>126</v>
      </c>
      <c r="K23" s="13" t="s">
        <v>74</v>
      </c>
      <c r="L23" s="11" t="str">
        <f>"00009A"</f>
        <v>00009A</v>
      </c>
      <c r="M23" s="10">
        <v>42697</v>
      </c>
      <c r="N23" s="11" t="str">
        <f>"000017"</f>
        <v>000017</v>
      </c>
      <c r="O23" s="10">
        <v>42916</v>
      </c>
      <c r="P23" s="11" t="str">
        <f>"000017"</f>
        <v>000017</v>
      </c>
      <c r="Q23" s="10">
        <v>42916</v>
      </c>
      <c r="R23" s="11">
        <v>16</v>
      </c>
      <c r="S23" s="11" t="str">
        <f>"003598"</f>
        <v>003598</v>
      </c>
      <c r="T23" s="10">
        <v>43292</v>
      </c>
      <c r="U23" s="14">
        <v>5.6061500000000004</v>
      </c>
      <c r="V23" s="14">
        <v>0.55915999999999999</v>
      </c>
      <c r="W23" s="14">
        <v>5.0469900000000001</v>
      </c>
      <c r="X23" s="11">
        <v>127</v>
      </c>
      <c r="Y23" s="10">
        <v>43299</v>
      </c>
      <c r="Z23" s="11">
        <v>9986319631</v>
      </c>
      <c r="AA23" s="12" t="s">
        <v>127</v>
      </c>
      <c r="AB23" s="11" t="s">
        <v>128</v>
      </c>
      <c r="AC23" s="12" t="s">
        <v>129</v>
      </c>
      <c r="AD23" s="11" t="s">
        <v>123</v>
      </c>
      <c r="AE23" s="12" t="s">
        <v>124</v>
      </c>
      <c r="AF23" s="14">
        <v>5.6061500000000007E-2</v>
      </c>
      <c r="AG23" s="11" t="s">
        <v>44</v>
      </c>
    </row>
    <row r="24" spans="1:33" x14ac:dyDescent="0.2">
      <c r="A24" s="8">
        <v>3499</v>
      </c>
      <c r="B24" s="9" t="s">
        <v>113</v>
      </c>
      <c r="C24" s="10">
        <v>43299</v>
      </c>
      <c r="D24" s="11">
        <v>71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125</v>
      </c>
      <c r="J24" s="12" t="s">
        <v>126</v>
      </c>
      <c r="K24" s="13" t="s">
        <v>74</v>
      </c>
      <c r="L24" s="11" t="str">
        <f>"00009A"</f>
        <v>00009A</v>
      </c>
      <c r="M24" s="10">
        <v>42697</v>
      </c>
      <c r="N24" s="11" t="str">
        <f>"000017"</f>
        <v>000017</v>
      </c>
      <c r="O24" s="10">
        <v>42916</v>
      </c>
      <c r="P24" s="11" t="str">
        <f>"000017"</f>
        <v>000017</v>
      </c>
      <c r="Q24" s="10">
        <v>42916</v>
      </c>
      <c r="R24" s="11">
        <v>16</v>
      </c>
      <c r="S24" s="11" t="str">
        <f>"003598"</f>
        <v>003598</v>
      </c>
      <c r="T24" s="10">
        <v>43292</v>
      </c>
      <c r="U24" s="14">
        <v>7.00725</v>
      </c>
      <c r="V24" s="14">
        <v>0.40639999999999998</v>
      </c>
      <c r="W24" s="14">
        <v>6.6008500000000003</v>
      </c>
      <c r="X24" s="11">
        <v>127</v>
      </c>
      <c r="Y24" s="10">
        <v>43299</v>
      </c>
      <c r="Z24" s="11">
        <v>9986319631</v>
      </c>
      <c r="AA24" s="12" t="s">
        <v>127</v>
      </c>
      <c r="AB24" s="11" t="s">
        <v>128</v>
      </c>
      <c r="AC24" s="12" t="s">
        <v>129</v>
      </c>
      <c r="AD24" s="11" t="s">
        <v>123</v>
      </c>
      <c r="AE24" s="12" t="s">
        <v>124</v>
      </c>
      <c r="AF24" s="14">
        <v>7.0072499999999996E-2</v>
      </c>
      <c r="AG24" s="11" t="s">
        <v>44</v>
      </c>
    </row>
    <row r="25" spans="1:33" x14ac:dyDescent="0.2">
      <c r="A25" s="8">
        <v>4461</v>
      </c>
      <c r="B25" s="9" t="s">
        <v>130</v>
      </c>
      <c r="C25" s="10">
        <v>43318</v>
      </c>
      <c r="D25" s="11">
        <v>71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131</v>
      </c>
      <c r="J25" s="12" t="s">
        <v>132</v>
      </c>
      <c r="K25" s="13" t="s">
        <v>47</v>
      </c>
      <c r="L25" s="11" t="str">
        <f>"000021"</f>
        <v>000021</v>
      </c>
      <c r="M25" s="10">
        <v>42501</v>
      </c>
      <c r="N25" s="11" t="str">
        <f>"000117"</f>
        <v>000117</v>
      </c>
      <c r="O25" s="10">
        <v>42791</v>
      </c>
      <c r="P25" s="11" t="str">
        <f>"000613"</f>
        <v>000613</v>
      </c>
      <c r="Q25" s="10">
        <v>42794</v>
      </c>
      <c r="R25" s="11">
        <v>16</v>
      </c>
      <c r="S25" s="11" t="str">
        <f>"004727"</f>
        <v>004727</v>
      </c>
      <c r="T25" s="10">
        <v>43314</v>
      </c>
      <c r="U25" s="14">
        <v>7.5171400000000004</v>
      </c>
      <c r="V25" s="14">
        <v>0.54773000000000005</v>
      </c>
      <c r="W25" s="14">
        <v>6.9694099999999999</v>
      </c>
      <c r="X25" s="11">
        <v>159</v>
      </c>
      <c r="Y25" s="10">
        <v>43318</v>
      </c>
      <c r="Z25" s="11">
        <v>9448736905</v>
      </c>
      <c r="AA25" s="12" t="s">
        <v>133</v>
      </c>
      <c r="AB25" s="11" t="s">
        <v>76</v>
      </c>
      <c r="AC25" s="12" t="s">
        <v>77</v>
      </c>
      <c r="AD25" s="11" t="s">
        <v>51</v>
      </c>
      <c r="AE25" s="12" t="s">
        <v>52</v>
      </c>
      <c r="AF25" s="14">
        <v>7.5171399999999999E-2</v>
      </c>
      <c r="AG25" s="11" t="s">
        <v>44</v>
      </c>
    </row>
    <row r="26" spans="1:33" x14ac:dyDescent="0.2">
      <c r="A26" s="8">
        <v>5661</v>
      </c>
      <c r="B26" s="9" t="s">
        <v>134</v>
      </c>
      <c r="C26" s="10">
        <v>43370</v>
      </c>
      <c r="D26" s="11">
        <v>71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135</v>
      </c>
      <c r="J26" s="12" t="s">
        <v>136</v>
      </c>
      <c r="K26" s="13" t="s">
        <v>47</v>
      </c>
      <c r="L26" s="11" t="str">
        <f>"000094"</f>
        <v>000094</v>
      </c>
      <c r="M26" s="10">
        <v>43059</v>
      </c>
      <c r="N26" s="11" t="str">
        <f>"000023"</f>
        <v>000023</v>
      </c>
      <c r="O26" s="10">
        <v>43259</v>
      </c>
      <c r="P26" s="11" t="str">
        <f>"000081"</f>
        <v>000081</v>
      </c>
      <c r="Q26" s="10">
        <v>43281</v>
      </c>
      <c r="R26" s="11">
        <v>18</v>
      </c>
      <c r="S26" s="11" t="str">
        <f>"005914"</f>
        <v>005914</v>
      </c>
      <c r="T26" s="10">
        <v>43368</v>
      </c>
      <c r="U26" s="14">
        <v>49.927930000000003</v>
      </c>
      <c r="V26" s="14">
        <v>4.8294600000000001</v>
      </c>
      <c r="W26" s="14">
        <v>45.098469999999999</v>
      </c>
      <c r="X26" s="11">
        <v>213</v>
      </c>
      <c r="Y26" s="10">
        <v>43370</v>
      </c>
      <c r="Z26" s="11">
        <v>9449219009</v>
      </c>
      <c r="AA26" s="12" t="s">
        <v>59</v>
      </c>
      <c r="AB26" s="11" t="s">
        <v>60</v>
      </c>
      <c r="AC26" s="12" t="s">
        <v>61</v>
      </c>
      <c r="AD26" s="11" t="s">
        <v>51</v>
      </c>
      <c r="AE26" s="12" t="s">
        <v>52</v>
      </c>
      <c r="AF26" s="14">
        <f t="shared" ref="AF26:AF52" si="0">U26/100</f>
        <v>0.49927930000000004</v>
      </c>
      <c r="AG26" s="11" t="s">
        <v>84</v>
      </c>
    </row>
    <row r="27" spans="1:33" x14ac:dyDescent="0.2">
      <c r="A27" s="8">
        <v>5662</v>
      </c>
      <c r="B27" s="9" t="s">
        <v>134</v>
      </c>
      <c r="C27" s="10">
        <v>43370</v>
      </c>
      <c r="D27" s="11">
        <v>71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137</v>
      </c>
      <c r="J27" s="12" t="s">
        <v>138</v>
      </c>
      <c r="K27" s="13" t="s">
        <v>47</v>
      </c>
      <c r="L27" s="11" t="str">
        <f>"000020"</f>
        <v>000020</v>
      </c>
      <c r="M27" s="10">
        <v>42501</v>
      </c>
      <c r="N27" s="11" t="str">
        <f>"000001"</f>
        <v>000001</v>
      </c>
      <c r="O27" s="10">
        <v>42845</v>
      </c>
      <c r="P27" s="11" t="str">
        <f>"000023"</f>
        <v>000023</v>
      </c>
      <c r="Q27" s="10">
        <v>42849</v>
      </c>
      <c r="R27" s="11">
        <v>16</v>
      </c>
      <c r="S27" s="11" t="str">
        <f>"005860"</f>
        <v>005860</v>
      </c>
      <c r="T27" s="10">
        <v>43363</v>
      </c>
      <c r="U27" s="14">
        <v>9.4009699999999992</v>
      </c>
      <c r="V27" s="14">
        <v>0.77751999999999999</v>
      </c>
      <c r="W27" s="14">
        <v>8.6234500000000001</v>
      </c>
      <c r="X27" s="11">
        <v>217</v>
      </c>
      <c r="Y27" s="10">
        <v>43370</v>
      </c>
      <c r="Z27" s="11">
        <v>9972108068</v>
      </c>
      <c r="AA27" s="12" t="s">
        <v>139</v>
      </c>
      <c r="AB27" s="11" t="s">
        <v>76</v>
      </c>
      <c r="AC27" s="12" t="s">
        <v>77</v>
      </c>
      <c r="AD27" s="11" t="s">
        <v>51</v>
      </c>
      <c r="AE27" s="12" t="s">
        <v>52</v>
      </c>
      <c r="AF27" s="14">
        <f t="shared" si="0"/>
        <v>9.4009699999999988E-2</v>
      </c>
      <c r="AG27" s="11" t="s">
        <v>44</v>
      </c>
    </row>
    <row r="28" spans="1:33" x14ac:dyDescent="0.2">
      <c r="A28" s="8">
        <v>6072</v>
      </c>
      <c r="B28" s="9" t="s">
        <v>140</v>
      </c>
      <c r="C28" s="10">
        <v>43385</v>
      </c>
      <c r="D28" s="11">
        <v>71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141</v>
      </c>
      <c r="J28" s="12" t="s">
        <v>142</v>
      </c>
      <c r="K28" s="13" t="s">
        <v>143</v>
      </c>
      <c r="L28" s="11" t="str">
        <f>"000001"</f>
        <v>000001</v>
      </c>
      <c r="M28" s="10">
        <v>43280</v>
      </c>
      <c r="N28" s="11" t="str">
        <f>"000001"</f>
        <v>000001</v>
      </c>
      <c r="O28" s="10">
        <v>43280</v>
      </c>
      <c r="P28" s="11" t="str">
        <f>"000053"</f>
        <v>000053</v>
      </c>
      <c r="Q28" s="10">
        <v>43280</v>
      </c>
      <c r="R28" s="11">
        <v>18</v>
      </c>
      <c r="S28" s="11" t="str">
        <f>"006232"</f>
        <v>006232</v>
      </c>
      <c r="T28" s="10">
        <v>43379</v>
      </c>
      <c r="U28" s="14">
        <v>137.04</v>
      </c>
      <c r="V28" s="14">
        <v>3.5</v>
      </c>
      <c r="W28" s="14">
        <v>133.54</v>
      </c>
      <c r="X28" s="11">
        <v>228</v>
      </c>
      <c r="Y28" s="10">
        <v>43385</v>
      </c>
      <c r="Z28" s="11">
        <v>9620560461</v>
      </c>
      <c r="AA28" s="12" t="s">
        <v>144</v>
      </c>
      <c r="AB28" s="11" t="s">
        <v>145</v>
      </c>
      <c r="AC28" s="12" t="s">
        <v>146</v>
      </c>
      <c r="AD28" s="11" t="s">
        <v>147</v>
      </c>
      <c r="AE28" s="12" t="s">
        <v>148</v>
      </c>
      <c r="AF28" s="14">
        <f t="shared" si="0"/>
        <v>1.3703999999999998</v>
      </c>
      <c r="AG28" s="11" t="s">
        <v>149</v>
      </c>
    </row>
    <row r="29" spans="1:33" x14ac:dyDescent="0.2">
      <c r="A29" s="8">
        <v>6073</v>
      </c>
      <c r="B29" s="9" t="s">
        <v>140</v>
      </c>
      <c r="C29" s="10">
        <v>43385</v>
      </c>
      <c r="D29" s="11">
        <v>71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36</v>
      </c>
      <c r="J29" s="12" t="s">
        <v>37</v>
      </c>
      <c r="K29" s="13" t="s">
        <v>38</v>
      </c>
      <c r="L29" s="11" t="str">
        <f>"000004"</f>
        <v>000004</v>
      </c>
      <c r="M29" s="10">
        <v>42630</v>
      </c>
      <c r="N29" s="11" t="str">
        <f>"000005"</f>
        <v>000005</v>
      </c>
      <c r="O29" s="10">
        <v>43133</v>
      </c>
      <c r="P29" s="11" t="str">
        <f>"000005"</f>
        <v>000005</v>
      </c>
      <c r="Q29" s="10">
        <v>43133</v>
      </c>
      <c r="R29" s="11">
        <v>17</v>
      </c>
      <c r="S29" s="11" t="str">
        <f>"010761"</f>
        <v>010761</v>
      </c>
      <c r="T29" s="10">
        <v>43182</v>
      </c>
      <c r="U29" s="14">
        <v>415.24507</v>
      </c>
      <c r="V29" s="14">
        <v>19.81955</v>
      </c>
      <c r="W29" s="14">
        <v>395.42552000000001</v>
      </c>
      <c r="X29" s="11">
        <v>228</v>
      </c>
      <c r="Y29" s="10">
        <v>43385</v>
      </c>
      <c r="Z29" s="11">
        <v>9886014403</v>
      </c>
      <c r="AA29" s="12" t="s">
        <v>53</v>
      </c>
      <c r="AB29" s="11" t="s">
        <v>40</v>
      </c>
      <c r="AC29" s="12" t="s">
        <v>41</v>
      </c>
      <c r="AD29" s="11" t="s">
        <v>42</v>
      </c>
      <c r="AE29" s="12" t="s">
        <v>43</v>
      </c>
      <c r="AF29" s="14">
        <f t="shared" si="0"/>
        <v>4.1524507000000002</v>
      </c>
      <c r="AG29" s="11" t="s">
        <v>44</v>
      </c>
    </row>
    <row r="30" spans="1:33" x14ac:dyDescent="0.2">
      <c r="A30" s="8">
        <v>6074</v>
      </c>
      <c r="B30" s="9" t="s">
        <v>140</v>
      </c>
      <c r="C30" s="10">
        <v>43385</v>
      </c>
      <c r="D30" s="11">
        <v>71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141</v>
      </c>
      <c r="J30" s="12" t="s">
        <v>142</v>
      </c>
      <c r="K30" s="13" t="s">
        <v>143</v>
      </c>
      <c r="L30" s="11" t="str">
        <f>"000001"</f>
        <v>000001</v>
      </c>
      <c r="M30" s="10">
        <v>43280</v>
      </c>
      <c r="N30" s="11" t="str">
        <f>"000001"</f>
        <v>000001</v>
      </c>
      <c r="O30" s="10">
        <v>43280</v>
      </c>
      <c r="P30" s="11" t="str">
        <f>"000053"</f>
        <v>000053</v>
      </c>
      <c r="Q30" s="10">
        <v>43280</v>
      </c>
      <c r="R30" s="11">
        <v>18</v>
      </c>
      <c r="S30" s="11" t="str">
        <f>"006232"</f>
        <v>006232</v>
      </c>
      <c r="T30" s="10">
        <v>43379</v>
      </c>
      <c r="U30" s="14">
        <v>137.04</v>
      </c>
      <c r="V30" s="14">
        <v>3.5</v>
      </c>
      <c r="W30" s="14">
        <v>133.54</v>
      </c>
      <c r="X30" s="11">
        <v>228</v>
      </c>
      <c r="Y30" s="10">
        <v>43385</v>
      </c>
      <c r="Z30" s="11">
        <v>9620560461</v>
      </c>
      <c r="AA30" s="12" t="s">
        <v>144</v>
      </c>
      <c r="AB30" s="11" t="s">
        <v>145</v>
      </c>
      <c r="AC30" s="12" t="s">
        <v>146</v>
      </c>
      <c r="AD30" s="11" t="s">
        <v>147</v>
      </c>
      <c r="AE30" s="12" t="s">
        <v>148</v>
      </c>
      <c r="AF30" s="14">
        <f t="shared" si="0"/>
        <v>1.3703999999999998</v>
      </c>
      <c r="AG30" s="11" t="s">
        <v>149</v>
      </c>
    </row>
    <row r="31" spans="1:33" x14ac:dyDescent="0.2">
      <c r="A31" s="8">
        <v>6075</v>
      </c>
      <c r="B31" s="9" t="s">
        <v>140</v>
      </c>
      <c r="C31" s="10">
        <v>43385</v>
      </c>
      <c r="D31" s="11">
        <v>71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36</v>
      </c>
      <c r="J31" s="12" t="s">
        <v>37</v>
      </c>
      <c r="K31" s="13" t="s">
        <v>38</v>
      </c>
      <c r="L31" s="11" t="str">
        <f>"000004"</f>
        <v>000004</v>
      </c>
      <c r="M31" s="10">
        <v>42630</v>
      </c>
      <c r="N31" s="11" t="str">
        <f>"000005"</f>
        <v>000005</v>
      </c>
      <c r="O31" s="10">
        <v>43133</v>
      </c>
      <c r="P31" s="11" t="str">
        <f>"000005"</f>
        <v>000005</v>
      </c>
      <c r="Q31" s="10">
        <v>43133</v>
      </c>
      <c r="R31" s="11">
        <v>17</v>
      </c>
      <c r="S31" s="11" t="str">
        <f>"010761"</f>
        <v>010761</v>
      </c>
      <c r="T31" s="10">
        <v>43182</v>
      </c>
      <c r="U31" s="14">
        <v>415.24507</v>
      </c>
      <c r="V31" s="14">
        <v>19.81955</v>
      </c>
      <c r="W31" s="14">
        <v>395.42552000000001</v>
      </c>
      <c r="X31" s="11">
        <v>228</v>
      </c>
      <c r="Y31" s="10">
        <v>43385</v>
      </c>
      <c r="Z31" s="11">
        <v>9886014403</v>
      </c>
      <c r="AA31" s="12" t="s">
        <v>53</v>
      </c>
      <c r="AB31" s="11" t="s">
        <v>40</v>
      </c>
      <c r="AC31" s="12" t="s">
        <v>41</v>
      </c>
      <c r="AD31" s="11" t="s">
        <v>42</v>
      </c>
      <c r="AE31" s="12" t="s">
        <v>43</v>
      </c>
      <c r="AF31" s="14">
        <f t="shared" si="0"/>
        <v>4.1524507000000002</v>
      </c>
      <c r="AG31" s="11" t="s">
        <v>44</v>
      </c>
    </row>
    <row r="32" spans="1:33" x14ac:dyDescent="0.2">
      <c r="A32" s="8">
        <v>6076</v>
      </c>
      <c r="B32" s="9" t="s">
        <v>140</v>
      </c>
      <c r="C32" s="10">
        <v>43385</v>
      </c>
      <c r="D32" s="11">
        <v>71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36</v>
      </c>
      <c r="J32" s="12" t="s">
        <v>37</v>
      </c>
      <c r="K32" s="13" t="s">
        <v>38</v>
      </c>
      <c r="L32" s="11" t="str">
        <f>"000004"</f>
        <v>000004</v>
      </c>
      <c r="M32" s="10">
        <v>42630</v>
      </c>
      <c r="N32" s="11" t="str">
        <f>"000005"</f>
        <v>000005</v>
      </c>
      <c r="O32" s="10">
        <v>43133</v>
      </c>
      <c r="P32" s="11" t="str">
        <f>"000005"</f>
        <v>000005</v>
      </c>
      <c r="Q32" s="10">
        <v>43133</v>
      </c>
      <c r="R32" s="11">
        <v>17</v>
      </c>
      <c r="S32" s="11" t="str">
        <f>"010761"</f>
        <v>010761</v>
      </c>
      <c r="T32" s="10">
        <v>43182</v>
      </c>
      <c r="U32" s="14">
        <v>1.72593</v>
      </c>
      <c r="V32" s="14">
        <v>0.1726</v>
      </c>
      <c r="W32" s="14">
        <v>1.5533300000000001</v>
      </c>
      <c r="X32" s="11">
        <v>232</v>
      </c>
      <c r="Y32" s="10">
        <v>43385</v>
      </c>
      <c r="Z32" s="11">
        <v>9342839190</v>
      </c>
      <c r="AA32" s="12" t="s">
        <v>150</v>
      </c>
      <c r="AB32" s="11" t="s">
        <v>40</v>
      </c>
      <c r="AC32" s="12" t="s">
        <v>41</v>
      </c>
      <c r="AD32" s="11" t="s">
        <v>42</v>
      </c>
      <c r="AE32" s="12" t="s">
        <v>43</v>
      </c>
      <c r="AF32" s="14">
        <f t="shared" si="0"/>
        <v>1.7259299999999998E-2</v>
      </c>
      <c r="AG32" s="11" t="s">
        <v>44</v>
      </c>
    </row>
    <row r="33" spans="1:33" x14ac:dyDescent="0.2">
      <c r="A33" s="8">
        <v>6548</v>
      </c>
      <c r="B33" s="9" t="s">
        <v>140</v>
      </c>
      <c r="C33" s="10">
        <v>43389</v>
      </c>
      <c r="D33" s="11">
        <v>71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151</v>
      </c>
      <c r="J33" s="12" t="s">
        <v>152</v>
      </c>
      <c r="K33" s="13" t="s">
        <v>64</v>
      </c>
      <c r="L33" s="11" t="str">
        <f>"000009"</f>
        <v>000009</v>
      </c>
      <c r="M33" s="10">
        <v>42954</v>
      </c>
      <c r="N33" s="11" t="str">
        <f>"000008"</f>
        <v>000008</v>
      </c>
      <c r="O33" s="10">
        <v>43061</v>
      </c>
      <c r="P33" s="11" t="str">
        <f>"000079"</f>
        <v>000079</v>
      </c>
      <c r="Q33" s="10">
        <v>43120</v>
      </c>
      <c r="R33" s="11">
        <v>17</v>
      </c>
      <c r="S33" s="11" t="str">
        <f>"006500"</f>
        <v>006500</v>
      </c>
      <c r="T33" s="10">
        <v>43383</v>
      </c>
      <c r="U33" s="14">
        <v>39.934550000000002</v>
      </c>
      <c r="V33" s="14">
        <v>3.2347000000000001</v>
      </c>
      <c r="W33" s="14">
        <v>36.699849999999998</v>
      </c>
      <c r="X33" s="11">
        <v>241</v>
      </c>
      <c r="Y33" s="10">
        <v>43389</v>
      </c>
      <c r="Z33" s="11">
        <v>9845187283</v>
      </c>
      <c r="AA33" s="12" t="s">
        <v>59</v>
      </c>
      <c r="AB33" s="11" t="s">
        <v>153</v>
      </c>
      <c r="AC33" s="12" t="s">
        <v>154</v>
      </c>
      <c r="AD33" s="11" t="s">
        <v>51</v>
      </c>
      <c r="AE33" s="12" t="s">
        <v>52</v>
      </c>
      <c r="AF33" s="14">
        <f t="shared" si="0"/>
        <v>0.39934550000000002</v>
      </c>
      <c r="AG33" s="11" t="s">
        <v>44</v>
      </c>
    </row>
    <row r="34" spans="1:33" x14ac:dyDescent="0.2">
      <c r="A34" s="8">
        <v>7675</v>
      </c>
      <c r="B34" s="9" t="s">
        <v>155</v>
      </c>
      <c r="C34" s="10">
        <v>43447</v>
      </c>
      <c r="D34" s="11">
        <v>71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156</v>
      </c>
      <c r="J34" s="12" t="s">
        <v>157</v>
      </c>
      <c r="K34" s="13" t="s">
        <v>74</v>
      </c>
      <c r="L34" s="11" t="str">
        <f>"000031"</f>
        <v>000031</v>
      </c>
      <c r="M34" s="10">
        <v>43371</v>
      </c>
      <c r="N34" s="11" t="str">
        <f>"000029"</f>
        <v>000029</v>
      </c>
      <c r="O34" s="10">
        <v>43420</v>
      </c>
      <c r="P34" s="11" t="str">
        <f>"000027"</f>
        <v>000027</v>
      </c>
      <c r="Q34" s="10">
        <v>43420</v>
      </c>
      <c r="R34" s="11">
        <v>19</v>
      </c>
      <c r="S34" s="11" t="str">
        <f>"007923"</f>
        <v>007923</v>
      </c>
      <c r="T34" s="10">
        <v>43447</v>
      </c>
      <c r="U34" s="14">
        <v>67.908199999999994</v>
      </c>
      <c r="V34" s="14">
        <v>6.7132500000000004</v>
      </c>
      <c r="W34" s="14">
        <v>61.194949999999999</v>
      </c>
      <c r="X34" s="11">
        <v>289</v>
      </c>
      <c r="Y34" s="10">
        <v>43447</v>
      </c>
      <c r="Z34" s="11">
        <v>9986313631</v>
      </c>
      <c r="AA34" s="12" t="s">
        <v>158</v>
      </c>
      <c r="AB34" s="11" t="s">
        <v>159</v>
      </c>
      <c r="AC34" s="12" t="s">
        <v>160</v>
      </c>
      <c r="AD34" s="11" t="s">
        <v>123</v>
      </c>
      <c r="AE34" s="12" t="s">
        <v>124</v>
      </c>
      <c r="AF34" s="14">
        <f t="shared" si="0"/>
        <v>0.67908199999999996</v>
      </c>
      <c r="AG34" s="11" t="s">
        <v>149</v>
      </c>
    </row>
    <row r="35" spans="1:33" x14ac:dyDescent="0.2">
      <c r="A35" s="8">
        <v>7841</v>
      </c>
      <c r="B35" s="9" t="s">
        <v>155</v>
      </c>
      <c r="C35" s="10">
        <v>43451</v>
      </c>
      <c r="D35" s="11">
        <v>71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161</v>
      </c>
      <c r="J35" s="12" t="s">
        <v>162</v>
      </c>
      <c r="K35" s="13" t="s">
        <v>74</v>
      </c>
      <c r="L35" s="11" t="str">
        <f>"000028"</f>
        <v>000028</v>
      </c>
      <c r="M35" s="10">
        <v>43346</v>
      </c>
      <c r="N35" s="11" t="str">
        <f>"000026"</f>
        <v>000026</v>
      </c>
      <c r="O35" s="10">
        <v>43420</v>
      </c>
      <c r="P35" s="11" t="str">
        <f>"000024"</f>
        <v>000024</v>
      </c>
      <c r="Q35" s="10">
        <v>43420</v>
      </c>
      <c r="R35" s="11">
        <v>19</v>
      </c>
      <c r="S35" s="11" t="str">
        <f>"008022"</f>
        <v>008022</v>
      </c>
      <c r="T35" s="10">
        <v>43449</v>
      </c>
      <c r="U35" s="14">
        <v>25.30509</v>
      </c>
      <c r="V35" s="14">
        <v>2.5400399999999999</v>
      </c>
      <c r="W35" s="14">
        <v>22.765049999999999</v>
      </c>
      <c r="X35" s="11">
        <v>294</v>
      </c>
      <c r="Y35" s="10">
        <v>43451</v>
      </c>
      <c r="Z35" s="11">
        <v>9986313631</v>
      </c>
      <c r="AA35" s="12" t="s">
        <v>163</v>
      </c>
      <c r="AB35" s="11" t="s">
        <v>164</v>
      </c>
      <c r="AC35" s="12" t="s">
        <v>165</v>
      </c>
      <c r="AD35" s="11" t="s">
        <v>123</v>
      </c>
      <c r="AE35" s="12" t="s">
        <v>124</v>
      </c>
      <c r="AF35" s="14">
        <f t="shared" si="0"/>
        <v>0.25305090000000002</v>
      </c>
      <c r="AG35" s="11" t="s">
        <v>149</v>
      </c>
    </row>
    <row r="36" spans="1:33" x14ac:dyDescent="0.2">
      <c r="A36" s="8">
        <v>8401</v>
      </c>
      <c r="B36" s="9" t="s">
        <v>166</v>
      </c>
      <c r="C36" s="10">
        <v>43469</v>
      </c>
      <c r="D36" s="11">
        <v>71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36</v>
      </c>
      <c r="J36" s="12" t="s">
        <v>37</v>
      </c>
      <c r="K36" s="13" t="s">
        <v>38</v>
      </c>
      <c r="L36" s="11" t="str">
        <f>"000004"</f>
        <v>000004</v>
      </c>
      <c r="M36" s="10">
        <v>42630</v>
      </c>
      <c r="N36" s="11" t="str">
        <f>"000005"</f>
        <v>000005</v>
      </c>
      <c r="O36" s="10">
        <v>43133</v>
      </c>
      <c r="P36" s="11" t="str">
        <f>"000005"</f>
        <v>000005</v>
      </c>
      <c r="Q36" s="10">
        <v>43133</v>
      </c>
      <c r="R36" s="11"/>
      <c r="S36" s="11" t="str">
        <f>"010761"</f>
        <v>010761</v>
      </c>
      <c r="T36" s="10">
        <v>43182</v>
      </c>
      <c r="U36" s="14">
        <v>520.37613999999996</v>
      </c>
      <c r="V36" s="14">
        <v>35.480820000000001</v>
      </c>
      <c r="W36" s="14">
        <v>484.89532000000003</v>
      </c>
      <c r="X36" s="11">
        <v>314</v>
      </c>
      <c r="Y36" s="10">
        <v>43469</v>
      </c>
      <c r="Z36" s="11">
        <v>9886014403</v>
      </c>
      <c r="AA36" s="12" t="s">
        <v>53</v>
      </c>
      <c r="AB36" s="11" t="s">
        <v>40</v>
      </c>
      <c r="AC36" s="12" t="s">
        <v>41</v>
      </c>
      <c r="AD36" s="11" t="s">
        <v>42</v>
      </c>
      <c r="AE36" s="12" t="s">
        <v>43</v>
      </c>
      <c r="AF36" s="14">
        <f t="shared" si="0"/>
        <v>5.2037613999999994</v>
      </c>
      <c r="AG36" s="11" t="s">
        <v>44</v>
      </c>
    </row>
    <row r="37" spans="1:33" x14ac:dyDescent="0.2">
      <c r="A37" s="8">
        <v>8777</v>
      </c>
      <c r="B37" s="9" t="s">
        <v>166</v>
      </c>
      <c r="C37" s="10">
        <v>43486</v>
      </c>
      <c r="D37" s="11">
        <v>71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93</v>
      </c>
      <c r="J37" s="12" t="s">
        <v>94</v>
      </c>
      <c r="K37" s="13" t="s">
        <v>38</v>
      </c>
      <c r="L37" s="11" t="str">
        <f>"000295"</f>
        <v>000295</v>
      </c>
      <c r="M37" s="10">
        <v>43178</v>
      </c>
      <c r="N37" s="11" t="str">
        <f>"000077"</f>
        <v>000077</v>
      </c>
      <c r="O37" s="10">
        <v>43423</v>
      </c>
      <c r="P37" s="11" t="str">
        <f>"000241"</f>
        <v>000241</v>
      </c>
      <c r="Q37" s="10">
        <v>43433</v>
      </c>
      <c r="R37" s="11"/>
      <c r="S37" s="11" t="str">
        <f>"008919"</f>
        <v>008919</v>
      </c>
      <c r="T37" s="10">
        <v>43485</v>
      </c>
      <c r="U37" s="14">
        <v>54.825659999999999</v>
      </c>
      <c r="V37" s="14">
        <v>3.3967399999999999</v>
      </c>
      <c r="W37" s="14">
        <v>51.428919999999998</v>
      </c>
      <c r="X37" s="11">
        <v>331</v>
      </c>
      <c r="Y37" s="10">
        <v>43486</v>
      </c>
      <c r="Z37" s="11">
        <v>9743188999</v>
      </c>
      <c r="AA37" s="12" t="s">
        <v>95</v>
      </c>
      <c r="AB37" s="11" t="s">
        <v>40</v>
      </c>
      <c r="AC37" s="12" t="s">
        <v>41</v>
      </c>
      <c r="AD37" s="11" t="s">
        <v>51</v>
      </c>
      <c r="AE37" s="12" t="s">
        <v>52</v>
      </c>
      <c r="AF37" s="14">
        <f t="shared" si="0"/>
        <v>0.54825659999999998</v>
      </c>
      <c r="AG37" s="11" t="s">
        <v>84</v>
      </c>
    </row>
    <row r="38" spans="1:33" x14ac:dyDescent="0.2">
      <c r="A38" s="8">
        <v>8826</v>
      </c>
      <c r="B38" s="9" t="s">
        <v>166</v>
      </c>
      <c r="C38" s="10">
        <v>43494</v>
      </c>
      <c r="D38" s="11">
        <v>71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167</v>
      </c>
      <c r="J38" s="12" t="s">
        <v>168</v>
      </c>
      <c r="K38" s="13" t="s">
        <v>47</v>
      </c>
      <c r="L38" s="11" t="str">
        <f>"000021"</f>
        <v>000021</v>
      </c>
      <c r="M38" s="10">
        <v>43321</v>
      </c>
      <c r="N38" s="11" t="str">
        <f>"000079"</f>
        <v>000079</v>
      </c>
      <c r="O38" s="10">
        <v>43448</v>
      </c>
      <c r="P38" s="11" t="str">
        <f>"000272"</f>
        <v>000272</v>
      </c>
      <c r="Q38" s="10">
        <v>43461</v>
      </c>
      <c r="R38" s="11"/>
      <c r="S38" s="11" t="str">
        <f>"009012"</f>
        <v>009012</v>
      </c>
      <c r="T38" s="10">
        <v>43490</v>
      </c>
      <c r="U38" s="14">
        <v>39.04636</v>
      </c>
      <c r="V38" s="14">
        <v>1.99593</v>
      </c>
      <c r="W38" s="14">
        <v>37.050429999999999</v>
      </c>
      <c r="X38" s="11">
        <v>335</v>
      </c>
      <c r="Y38" s="10">
        <v>43494</v>
      </c>
      <c r="Z38" s="11">
        <v>8147574095</v>
      </c>
      <c r="AA38" s="12" t="s">
        <v>169</v>
      </c>
      <c r="AB38" s="11" t="s">
        <v>49</v>
      </c>
      <c r="AC38" s="12" t="s">
        <v>50</v>
      </c>
      <c r="AD38" s="11" t="s">
        <v>51</v>
      </c>
      <c r="AE38" s="12" t="s">
        <v>52</v>
      </c>
      <c r="AF38" s="14">
        <f t="shared" si="0"/>
        <v>0.39046360000000002</v>
      </c>
      <c r="AG38" s="11" t="s">
        <v>149</v>
      </c>
    </row>
    <row r="39" spans="1:33" x14ac:dyDescent="0.2">
      <c r="A39" s="8">
        <v>9117</v>
      </c>
      <c r="B39" s="9" t="s">
        <v>170</v>
      </c>
      <c r="C39" s="10">
        <v>43508</v>
      </c>
      <c r="D39" s="11">
        <v>71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171</v>
      </c>
      <c r="J39" s="12" t="s">
        <v>172</v>
      </c>
      <c r="K39" s="13" t="s">
        <v>74</v>
      </c>
      <c r="L39" s="11" t="str">
        <f>"000010"</f>
        <v>000010</v>
      </c>
      <c r="M39" s="10">
        <v>42832</v>
      </c>
      <c r="N39" s="11" t="str">
        <f>"000014"</f>
        <v>000014</v>
      </c>
      <c r="O39" s="10">
        <v>42913</v>
      </c>
      <c r="P39" s="11" t="str">
        <f>"000105"</f>
        <v>000105</v>
      </c>
      <c r="Q39" s="10">
        <v>42914</v>
      </c>
      <c r="R39" s="11"/>
      <c r="S39" s="11" t="str">
        <f>"009143"</f>
        <v>009143</v>
      </c>
      <c r="T39" s="10">
        <v>43503</v>
      </c>
      <c r="U39" s="14">
        <v>14.159739999999999</v>
      </c>
      <c r="V39" s="14">
        <v>1.0407500000000001</v>
      </c>
      <c r="W39" s="14">
        <v>13.11899</v>
      </c>
      <c r="X39" s="11">
        <v>349</v>
      </c>
      <c r="Y39" s="10">
        <v>43508</v>
      </c>
      <c r="Z39" s="11">
        <v>9972204400</v>
      </c>
      <c r="AA39" s="12" t="s">
        <v>173</v>
      </c>
      <c r="AB39" s="11" t="s">
        <v>76</v>
      </c>
      <c r="AC39" s="12" t="s">
        <v>77</v>
      </c>
      <c r="AD39" s="11" t="s">
        <v>51</v>
      </c>
      <c r="AE39" s="12" t="s">
        <v>52</v>
      </c>
      <c r="AF39" s="14">
        <f t="shared" si="0"/>
        <v>0.14159739999999998</v>
      </c>
      <c r="AG39" s="11" t="s">
        <v>44</v>
      </c>
    </row>
    <row r="40" spans="1:33" x14ac:dyDescent="0.2">
      <c r="A40" s="8">
        <v>9118</v>
      </c>
      <c r="B40" s="9" t="s">
        <v>170</v>
      </c>
      <c r="C40" s="10">
        <v>43508</v>
      </c>
      <c r="D40" s="11">
        <v>71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174</v>
      </c>
      <c r="J40" s="12" t="s">
        <v>175</v>
      </c>
      <c r="K40" s="13" t="s">
        <v>74</v>
      </c>
      <c r="L40" s="11" t="str">
        <f>"000009"</f>
        <v>000009</v>
      </c>
      <c r="M40" s="10">
        <v>42832</v>
      </c>
      <c r="N40" s="11" t="str">
        <f>"000013"</f>
        <v>000013</v>
      </c>
      <c r="O40" s="10">
        <v>42913</v>
      </c>
      <c r="P40" s="11" t="str">
        <f>"000107"</f>
        <v>000107</v>
      </c>
      <c r="Q40" s="10">
        <v>42914</v>
      </c>
      <c r="R40" s="11"/>
      <c r="S40" s="11" t="str">
        <f>"009144"</f>
        <v>009144</v>
      </c>
      <c r="T40" s="10">
        <v>43503</v>
      </c>
      <c r="U40" s="14">
        <v>12.420629999999999</v>
      </c>
      <c r="V40" s="14">
        <v>0.91293000000000002</v>
      </c>
      <c r="W40" s="14">
        <v>11.5077</v>
      </c>
      <c r="X40" s="11">
        <v>349</v>
      </c>
      <c r="Y40" s="10">
        <v>43508</v>
      </c>
      <c r="Z40" s="11">
        <v>9972204400</v>
      </c>
      <c r="AA40" s="12" t="s">
        <v>173</v>
      </c>
      <c r="AB40" s="11" t="s">
        <v>76</v>
      </c>
      <c r="AC40" s="12" t="s">
        <v>77</v>
      </c>
      <c r="AD40" s="11" t="s">
        <v>51</v>
      </c>
      <c r="AE40" s="12" t="s">
        <v>52</v>
      </c>
      <c r="AF40" s="14">
        <f t="shared" si="0"/>
        <v>0.12420629999999999</v>
      </c>
      <c r="AG40" s="11" t="s">
        <v>44</v>
      </c>
    </row>
    <row r="41" spans="1:33" x14ac:dyDescent="0.2">
      <c r="A41" s="8">
        <v>9122</v>
      </c>
      <c r="B41" s="9" t="s">
        <v>170</v>
      </c>
      <c r="C41" s="10">
        <v>43508</v>
      </c>
      <c r="D41" s="11">
        <v>71</v>
      </c>
      <c r="E41" s="12" t="s">
        <v>34</v>
      </c>
      <c r="F41" s="12" t="s">
        <v>34</v>
      </c>
      <c r="G41" s="12" t="s">
        <v>34</v>
      </c>
      <c r="H41" s="12" t="s">
        <v>35</v>
      </c>
      <c r="I41" s="11" t="s">
        <v>176</v>
      </c>
      <c r="J41" s="12" t="s">
        <v>177</v>
      </c>
      <c r="K41" s="13" t="s">
        <v>74</v>
      </c>
      <c r="L41" s="11" t="str">
        <f>"000014"</f>
        <v>000014</v>
      </c>
      <c r="M41" s="10">
        <v>42832</v>
      </c>
      <c r="N41" s="11" t="str">
        <f>"000017"</f>
        <v>000017</v>
      </c>
      <c r="O41" s="10">
        <v>42913</v>
      </c>
      <c r="P41" s="11" t="str">
        <f>"000108"</f>
        <v>000108</v>
      </c>
      <c r="Q41" s="10">
        <v>42914</v>
      </c>
      <c r="R41" s="11"/>
      <c r="S41" s="11" t="str">
        <f>"009168"</f>
        <v>009168</v>
      </c>
      <c r="T41" s="10">
        <v>43503</v>
      </c>
      <c r="U41" s="14">
        <v>15.95486</v>
      </c>
      <c r="V41" s="14">
        <v>1.1726799999999999</v>
      </c>
      <c r="W41" s="14">
        <v>14.78218</v>
      </c>
      <c r="X41" s="11">
        <v>349</v>
      </c>
      <c r="Y41" s="10">
        <v>43508</v>
      </c>
      <c r="Z41" s="11">
        <v>9972204400</v>
      </c>
      <c r="AA41" s="12" t="s">
        <v>173</v>
      </c>
      <c r="AB41" s="11" t="s">
        <v>76</v>
      </c>
      <c r="AC41" s="12" t="s">
        <v>77</v>
      </c>
      <c r="AD41" s="11" t="s">
        <v>51</v>
      </c>
      <c r="AE41" s="12" t="s">
        <v>52</v>
      </c>
      <c r="AF41" s="14">
        <f t="shared" si="0"/>
        <v>0.15954860000000001</v>
      </c>
      <c r="AG41" s="11" t="s">
        <v>44</v>
      </c>
    </row>
    <row r="42" spans="1:33" x14ac:dyDescent="0.2">
      <c r="A42" s="8">
        <v>9657</v>
      </c>
      <c r="B42" s="9" t="s">
        <v>178</v>
      </c>
      <c r="C42" s="10">
        <v>43539</v>
      </c>
      <c r="D42" s="11">
        <v>71</v>
      </c>
      <c r="E42" s="12" t="s">
        <v>34</v>
      </c>
      <c r="F42" s="12" t="s">
        <v>34</v>
      </c>
      <c r="G42" s="12" t="s">
        <v>34</v>
      </c>
      <c r="H42" s="12" t="s">
        <v>35</v>
      </c>
      <c r="I42" s="11" t="s">
        <v>179</v>
      </c>
      <c r="J42" s="12" t="s">
        <v>180</v>
      </c>
      <c r="K42" s="13" t="s">
        <v>74</v>
      </c>
      <c r="L42" s="11" t="str">
        <f>"00O060"</f>
        <v>00O060</v>
      </c>
      <c r="M42" s="10">
        <v>42859</v>
      </c>
      <c r="N42" s="11" t="str">
        <f>"0O0020"</f>
        <v>0O0020</v>
      </c>
      <c r="O42" s="10">
        <v>42913</v>
      </c>
      <c r="P42" s="11" t="str">
        <f>"000114"</f>
        <v>000114</v>
      </c>
      <c r="Q42" s="10">
        <v>42916</v>
      </c>
      <c r="R42" s="11"/>
      <c r="S42" s="11" t="str">
        <f>"009706"</f>
        <v>009706</v>
      </c>
      <c r="T42" s="10">
        <v>43538</v>
      </c>
      <c r="U42" s="14">
        <v>18.548169999999999</v>
      </c>
      <c r="V42" s="14">
        <v>1.21844</v>
      </c>
      <c r="W42" s="14">
        <v>17.329730000000001</v>
      </c>
      <c r="X42" s="11">
        <v>376</v>
      </c>
      <c r="Y42" s="10">
        <v>43539</v>
      </c>
      <c r="Z42" s="11">
        <v>8105484756</v>
      </c>
      <c r="AA42" s="12" t="s">
        <v>181</v>
      </c>
      <c r="AB42" s="11" t="s">
        <v>76</v>
      </c>
      <c r="AC42" s="12" t="s">
        <v>77</v>
      </c>
      <c r="AD42" s="11" t="s">
        <v>51</v>
      </c>
      <c r="AE42" s="12" t="s">
        <v>52</v>
      </c>
      <c r="AF42" s="14">
        <f t="shared" si="0"/>
        <v>0.1854817</v>
      </c>
      <c r="AG42" s="11" t="s">
        <v>44</v>
      </c>
    </row>
    <row r="43" spans="1:33" x14ac:dyDescent="0.2">
      <c r="A43" s="8">
        <v>9664</v>
      </c>
      <c r="B43" s="9" t="s">
        <v>178</v>
      </c>
      <c r="C43" s="10">
        <v>43539</v>
      </c>
      <c r="D43" s="11">
        <v>71</v>
      </c>
      <c r="E43" s="12" t="s">
        <v>34</v>
      </c>
      <c r="F43" s="12" t="s">
        <v>34</v>
      </c>
      <c r="G43" s="12" t="s">
        <v>34</v>
      </c>
      <c r="H43" s="12" t="s">
        <v>35</v>
      </c>
      <c r="I43" s="11" t="s">
        <v>182</v>
      </c>
      <c r="J43" s="12" t="s">
        <v>183</v>
      </c>
      <c r="K43" s="13" t="s">
        <v>74</v>
      </c>
      <c r="L43" s="11" t="str">
        <f>"0O0031"</f>
        <v>0O0031</v>
      </c>
      <c r="M43" s="10">
        <v>42844</v>
      </c>
      <c r="N43" s="11" t="str">
        <f>"000021"</f>
        <v>000021</v>
      </c>
      <c r="O43" s="10">
        <v>42913</v>
      </c>
      <c r="P43" s="11" t="str">
        <f>"000115"</f>
        <v>000115</v>
      </c>
      <c r="Q43" s="10">
        <v>42916</v>
      </c>
      <c r="R43" s="11"/>
      <c r="S43" s="11" t="str">
        <f>"009716"</f>
        <v>009716</v>
      </c>
      <c r="T43" s="10">
        <v>43538</v>
      </c>
      <c r="U43" s="14">
        <v>18.271920000000001</v>
      </c>
      <c r="V43" s="14">
        <v>1.25573</v>
      </c>
      <c r="W43" s="14">
        <v>17.016190000000002</v>
      </c>
      <c r="X43" s="11">
        <v>376</v>
      </c>
      <c r="Y43" s="10">
        <v>43539</v>
      </c>
      <c r="Z43" s="11">
        <v>8105484756</v>
      </c>
      <c r="AA43" s="12" t="s">
        <v>181</v>
      </c>
      <c r="AB43" s="11" t="s">
        <v>76</v>
      </c>
      <c r="AC43" s="12" t="s">
        <v>77</v>
      </c>
      <c r="AD43" s="11" t="s">
        <v>51</v>
      </c>
      <c r="AE43" s="12" t="s">
        <v>52</v>
      </c>
      <c r="AF43" s="14">
        <f t="shared" si="0"/>
        <v>0.18271920000000003</v>
      </c>
      <c r="AG43" s="11" t="s">
        <v>44</v>
      </c>
    </row>
    <row r="44" spans="1:33" x14ac:dyDescent="0.2">
      <c r="A44" s="8">
        <v>9665</v>
      </c>
      <c r="B44" s="9" t="s">
        <v>178</v>
      </c>
      <c r="C44" s="10">
        <v>43539</v>
      </c>
      <c r="D44" s="11">
        <v>71</v>
      </c>
      <c r="E44" s="12" t="s">
        <v>34</v>
      </c>
      <c r="F44" s="12" t="s">
        <v>34</v>
      </c>
      <c r="G44" s="12" t="s">
        <v>34</v>
      </c>
      <c r="H44" s="12" t="s">
        <v>35</v>
      </c>
      <c r="I44" s="11" t="s">
        <v>184</v>
      </c>
      <c r="J44" s="12" t="s">
        <v>185</v>
      </c>
      <c r="K44" s="13" t="s">
        <v>38</v>
      </c>
      <c r="L44" s="11" t="str">
        <f>"0O0061"</f>
        <v>0O0061</v>
      </c>
      <c r="M44" s="10">
        <v>42859</v>
      </c>
      <c r="N44" s="11" t="str">
        <f>"0O0022"</f>
        <v>0O0022</v>
      </c>
      <c r="O44" s="10">
        <v>42913</v>
      </c>
      <c r="P44" s="11" t="str">
        <f>"000116"</f>
        <v>000116</v>
      </c>
      <c r="Q44" s="10">
        <v>42916</v>
      </c>
      <c r="R44" s="11"/>
      <c r="S44" s="11" t="str">
        <f>"009718"</f>
        <v>009718</v>
      </c>
      <c r="T44" s="10">
        <v>43538</v>
      </c>
      <c r="U44" s="14">
        <v>19.245139999999999</v>
      </c>
      <c r="V44" s="14">
        <v>1.26312</v>
      </c>
      <c r="W44" s="14">
        <v>17.982019999999999</v>
      </c>
      <c r="X44" s="11">
        <v>376</v>
      </c>
      <c r="Y44" s="10">
        <v>43539</v>
      </c>
      <c r="Z44" s="11">
        <v>8105484756</v>
      </c>
      <c r="AA44" s="12" t="s">
        <v>181</v>
      </c>
      <c r="AB44" s="11" t="s">
        <v>76</v>
      </c>
      <c r="AC44" s="12" t="s">
        <v>77</v>
      </c>
      <c r="AD44" s="11" t="s">
        <v>51</v>
      </c>
      <c r="AE44" s="12" t="s">
        <v>52</v>
      </c>
      <c r="AF44" s="14">
        <f t="shared" si="0"/>
        <v>0.19245139999999999</v>
      </c>
      <c r="AG44" s="11" t="s">
        <v>44</v>
      </c>
    </row>
    <row r="45" spans="1:33" x14ac:dyDescent="0.2">
      <c r="A45" s="8">
        <v>9698</v>
      </c>
      <c r="B45" s="9" t="s">
        <v>178</v>
      </c>
      <c r="C45" s="10">
        <v>43539</v>
      </c>
      <c r="D45" s="11">
        <v>71</v>
      </c>
      <c r="E45" s="12" t="s">
        <v>34</v>
      </c>
      <c r="F45" s="12" t="s">
        <v>34</v>
      </c>
      <c r="G45" s="12" t="s">
        <v>34</v>
      </c>
      <c r="H45" s="12" t="s">
        <v>35</v>
      </c>
      <c r="I45" s="11" t="s">
        <v>186</v>
      </c>
      <c r="J45" s="12" t="s">
        <v>187</v>
      </c>
      <c r="K45" s="13" t="s">
        <v>47</v>
      </c>
      <c r="L45" s="11" t="str">
        <f>"000091"</f>
        <v>000091</v>
      </c>
      <c r="M45" s="10">
        <v>42460</v>
      </c>
      <c r="N45" s="11" t="str">
        <f>"0O0030"</f>
        <v>0O0030</v>
      </c>
      <c r="O45" s="10">
        <v>42916</v>
      </c>
      <c r="P45" s="11" t="str">
        <f>"000139"</f>
        <v>000139</v>
      </c>
      <c r="Q45" s="10">
        <v>42916</v>
      </c>
      <c r="R45" s="11"/>
      <c r="S45" s="11" t="str">
        <f>"009759"</f>
        <v>009759</v>
      </c>
      <c r="T45" s="10">
        <v>43538</v>
      </c>
      <c r="U45" s="14">
        <v>9.7525099999999991</v>
      </c>
      <c r="V45" s="14">
        <v>0.74119999999999997</v>
      </c>
      <c r="W45" s="14">
        <v>9.0113099999999999</v>
      </c>
      <c r="X45" s="11">
        <v>376</v>
      </c>
      <c r="Y45" s="10">
        <v>43539</v>
      </c>
      <c r="Z45" s="11">
        <v>9845736688</v>
      </c>
      <c r="AA45" s="12" t="s">
        <v>188</v>
      </c>
      <c r="AB45" s="11" t="s">
        <v>76</v>
      </c>
      <c r="AC45" s="12" t="s">
        <v>77</v>
      </c>
      <c r="AD45" s="11" t="s">
        <v>51</v>
      </c>
      <c r="AE45" s="12" t="s">
        <v>52</v>
      </c>
      <c r="AF45" s="14">
        <f t="shared" si="0"/>
        <v>9.752509999999999E-2</v>
      </c>
      <c r="AG45" s="11" t="s">
        <v>44</v>
      </c>
    </row>
    <row r="46" spans="1:33" x14ac:dyDescent="0.2">
      <c r="A46" s="8">
        <v>9701</v>
      </c>
      <c r="B46" s="9" t="s">
        <v>178</v>
      </c>
      <c r="C46" s="10">
        <v>43539</v>
      </c>
      <c r="D46" s="11">
        <v>71</v>
      </c>
      <c r="E46" s="12" t="s">
        <v>34</v>
      </c>
      <c r="F46" s="12" t="s">
        <v>34</v>
      </c>
      <c r="G46" s="12" t="s">
        <v>34</v>
      </c>
      <c r="H46" s="12" t="s">
        <v>35</v>
      </c>
      <c r="I46" s="11" t="s">
        <v>189</v>
      </c>
      <c r="J46" s="12" t="s">
        <v>190</v>
      </c>
      <c r="K46" s="13" t="s">
        <v>74</v>
      </c>
      <c r="L46" s="11" t="str">
        <f>"000015"</f>
        <v>000015</v>
      </c>
      <c r="M46" s="10">
        <v>42832</v>
      </c>
      <c r="N46" s="11" t="str">
        <f>"000029"</f>
        <v>000029</v>
      </c>
      <c r="O46" s="10">
        <v>42916</v>
      </c>
      <c r="P46" s="11" t="str">
        <f>"000142"</f>
        <v>000142</v>
      </c>
      <c r="Q46" s="10">
        <v>42916</v>
      </c>
      <c r="R46" s="11"/>
      <c r="S46" s="11" t="str">
        <f>"009762"</f>
        <v>009762</v>
      </c>
      <c r="T46" s="10">
        <v>43538</v>
      </c>
      <c r="U46" s="14">
        <v>9.7444900000000008</v>
      </c>
      <c r="V46" s="14">
        <v>0.71619999999999995</v>
      </c>
      <c r="W46" s="14">
        <v>9.0282900000000001</v>
      </c>
      <c r="X46" s="11">
        <v>376</v>
      </c>
      <c r="Y46" s="10">
        <v>43539</v>
      </c>
      <c r="Z46" s="11">
        <v>9972204400</v>
      </c>
      <c r="AA46" s="12" t="s">
        <v>173</v>
      </c>
      <c r="AB46" s="11" t="s">
        <v>76</v>
      </c>
      <c r="AC46" s="12" t="s">
        <v>77</v>
      </c>
      <c r="AD46" s="11" t="s">
        <v>51</v>
      </c>
      <c r="AE46" s="12" t="s">
        <v>52</v>
      </c>
      <c r="AF46" s="14">
        <f t="shared" si="0"/>
        <v>9.7444900000000001E-2</v>
      </c>
      <c r="AG46" s="11" t="s">
        <v>44</v>
      </c>
    </row>
    <row r="47" spans="1:33" x14ac:dyDescent="0.2">
      <c r="A47" s="8">
        <v>9724</v>
      </c>
      <c r="B47" s="9" t="s">
        <v>178</v>
      </c>
      <c r="C47" s="10">
        <v>43540</v>
      </c>
      <c r="D47" s="11">
        <v>71</v>
      </c>
      <c r="E47" s="12" t="s">
        <v>34</v>
      </c>
      <c r="F47" s="12" t="s">
        <v>34</v>
      </c>
      <c r="G47" s="12" t="s">
        <v>34</v>
      </c>
      <c r="H47" s="12" t="s">
        <v>35</v>
      </c>
      <c r="I47" s="11" t="s">
        <v>191</v>
      </c>
      <c r="J47" s="12" t="s">
        <v>192</v>
      </c>
      <c r="K47" s="13" t="s">
        <v>193</v>
      </c>
      <c r="L47" s="11" t="str">
        <f>"000261"</f>
        <v>000261</v>
      </c>
      <c r="M47" s="10">
        <v>43441</v>
      </c>
      <c r="N47" s="11" t="str">
        <f>"000086"</f>
        <v>000086</v>
      </c>
      <c r="O47" s="10">
        <v>43458</v>
      </c>
      <c r="P47" s="11" t="str">
        <f>"000278"</f>
        <v>000278</v>
      </c>
      <c r="Q47" s="10">
        <v>43465</v>
      </c>
      <c r="R47" s="11"/>
      <c r="S47" s="11" t="str">
        <f>"009688"</f>
        <v>009688</v>
      </c>
      <c r="T47" s="10">
        <v>43537</v>
      </c>
      <c r="U47" s="14">
        <v>4.9328900000000004</v>
      </c>
      <c r="V47" s="14">
        <v>0.24754000000000001</v>
      </c>
      <c r="W47" s="14">
        <v>4.6853499999999997</v>
      </c>
      <c r="X47" s="11">
        <v>377</v>
      </c>
      <c r="Y47" s="10">
        <v>43540</v>
      </c>
      <c r="Z47" s="11">
        <v>9739456566</v>
      </c>
      <c r="AA47" s="12" t="s">
        <v>194</v>
      </c>
      <c r="AB47" s="11" t="s">
        <v>145</v>
      </c>
      <c r="AC47" s="12" t="s">
        <v>146</v>
      </c>
      <c r="AD47" s="11" t="s">
        <v>51</v>
      </c>
      <c r="AE47" s="12" t="s">
        <v>52</v>
      </c>
      <c r="AF47" s="14">
        <f t="shared" si="0"/>
        <v>4.9328900000000002E-2</v>
      </c>
      <c r="AG47" s="11" t="s">
        <v>149</v>
      </c>
    </row>
    <row r="48" spans="1:33" x14ac:dyDescent="0.2">
      <c r="A48" s="8">
        <v>9725</v>
      </c>
      <c r="B48" s="9" t="s">
        <v>178</v>
      </c>
      <c r="C48" s="10">
        <v>43540</v>
      </c>
      <c r="D48" s="11">
        <v>71</v>
      </c>
      <c r="E48" s="12" t="s">
        <v>34</v>
      </c>
      <c r="F48" s="12" t="s">
        <v>34</v>
      </c>
      <c r="G48" s="12" t="s">
        <v>34</v>
      </c>
      <c r="H48" s="12" t="s">
        <v>35</v>
      </c>
      <c r="I48" s="11" t="s">
        <v>195</v>
      </c>
      <c r="J48" s="12" t="s">
        <v>196</v>
      </c>
      <c r="K48" s="13" t="s">
        <v>193</v>
      </c>
      <c r="L48" s="11" t="str">
        <f>"000259"</f>
        <v>000259</v>
      </c>
      <c r="M48" s="10">
        <v>43441</v>
      </c>
      <c r="N48" s="11" t="str">
        <f>"000081"</f>
        <v>000081</v>
      </c>
      <c r="O48" s="10">
        <v>43453</v>
      </c>
      <c r="P48" s="11" t="str">
        <f>"000266"</f>
        <v>000266</v>
      </c>
      <c r="Q48" s="10">
        <v>43456</v>
      </c>
      <c r="R48" s="11"/>
      <c r="S48" s="11" t="str">
        <f>"009689"</f>
        <v>009689</v>
      </c>
      <c r="T48" s="10">
        <v>43537</v>
      </c>
      <c r="U48" s="14">
        <v>4.8915899999999999</v>
      </c>
      <c r="V48" s="14">
        <v>0.23902000000000001</v>
      </c>
      <c r="W48" s="14">
        <v>4.6525699999999999</v>
      </c>
      <c r="X48" s="11">
        <v>377</v>
      </c>
      <c r="Y48" s="10">
        <v>43540</v>
      </c>
      <c r="Z48" s="11">
        <v>9448543119</v>
      </c>
      <c r="AA48" s="12" t="s">
        <v>197</v>
      </c>
      <c r="AB48" s="11" t="s">
        <v>145</v>
      </c>
      <c r="AC48" s="12" t="s">
        <v>146</v>
      </c>
      <c r="AD48" s="11" t="s">
        <v>51</v>
      </c>
      <c r="AE48" s="12" t="s">
        <v>52</v>
      </c>
      <c r="AF48" s="14">
        <f t="shared" si="0"/>
        <v>4.8915899999999998E-2</v>
      </c>
      <c r="AG48" s="11" t="s">
        <v>149</v>
      </c>
    </row>
    <row r="49" spans="1:33" x14ac:dyDescent="0.2">
      <c r="A49" s="8">
        <v>9967</v>
      </c>
      <c r="B49" s="9" t="s">
        <v>178</v>
      </c>
      <c r="C49" s="10">
        <v>43552</v>
      </c>
      <c r="D49" s="11">
        <v>71</v>
      </c>
      <c r="E49" s="12" t="s">
        <v>34</v>
      </c>
      <c r="F49" s="12" t="s">
        <v>34</v>
      </c>
      <c r="G49" s="12" t="s">
        <v>34</v>
      </c>
      <c r="H49" s="12" t="s">
        <v>35</v>
      </c>
      <c r="I49" s="11" t="s">
        <v>198</v>
      </c>
      <c r="J49" s="12" t="s">
        <v>199</v>
      </c>
      <c r="K49" s="13" t="s">
        <v>74</v>
      </c>
      <c r="L49" s="11" t="str">
        <f>"000O14"</f>
        <v>000O14</v>
      </c>
      <c r="M49" s="10">
        <v>42839</v>
      </c>
      <c r="N49" s="11" t="str">
        <f>"000015"</f>
        <v>000015</v>
      </c>
      <c r="O49" s="10">
        <v>42913</v>
      </c>
      <c r="P49" s="11" t="str">
        <f>"000106"</f>
        <v>000106</v>
      </c>
      <c r="Q49" s="10">
        <v>42914</v>
      </c>
      <c r="R49" s="11"/>
      <c r="S49" s="11" t="str">
        <f>"009996"</f>
        <v>009996</v>
      </c>
      <c r="T49" s="10">
        <v>43551</v>
      </c>
      <c r="U49" s="14">
        <v>14.17226</v>
      </c>
      <c r="V49" s="14">
        <v>1.07708</v>
      </c>
      <c r="W49" s="14">
        <v>13.095179999999999</v>
      </c>
      <c r="X49" s="11">
        <v>390</v>
      </c>
      <c r="Y49" s="10">
        <v>43552</v>
      </c>
      <c r="Z49" s="11">
        <v>9972204400</v>
      </c>
      <c r="AA49" s="12" t="s">
        <v>173</v>
      </c>
      <c r="AB49" s="11" t="s">
        <v>76</v>
      </c>
      <c r="AC49" s="12" t="s">
        <v>77</v>
      </c>
      <c r="AD49" s="11" t="s">
        <v>51</v>
      </c>
      <c r="AE49" s="12" t="s">
        <v>52</v>
      </c>
      <c r="AF49" s="14">
        <f t="shared" si="0"/>
        <v>0.1417226</v>
      </c>
      <c r="AG49" s="11" t="s">
        <v>44</v>
      </c>
    </row>
    <row r="50" spans="1:33" x14ac:dyDescent="0.2">
      <c r="A50" s="8">
        <v>9968</v>
      </c>
      <c r="B50" s="9" t="s">
        <v>178</v>
      </c>
      <c r="C50" s="10">
        <v>43552</v>
      </c>
      <c r="D50" s="11">
        <v>71</v>
      </c>
      <c r="E50" s="12" t="s">
        <v>34</v>
      </c>
      <c r="F50" s="12" t="s">
        <v>34</v>
      </c>
      <c r="G50" s="12" t="s">
        <v>34</v>
      </c>
      <c r="H50" s="12" t="s">
        <v>35</v>
      </c>
      <c r="I50" s="11" t="s">
        <v>200</v>
      </c>
      <c r="J50" s="12" t="s">
        <v>201</v>
      </c>
      <c r="K50" s="13" t="s">
        <v>74</v>
      </c>
      <c r="L50" s="11" t="str">
        <f>"000011"</f>
        <v>000011</v>
      </c>
      <c r="M50" s="10">
        <v>42832</v>
      </c>
      <c r="N50" s="11" t="str">
        <f>"000018"</f>
        <v>000018</v>
      </c>
      <c r="O50" s="10">
        <v>42913</v>
      </c>
      <c r="P50" s="11" t="str">
        <f>"000109"</f>
        <v>000109</v>
      </c>
      <c r="Q50" s="10">
        <v>42914</v>
      </c>
      <c r="R50" s="11"/>
      <c r="S50" s="11" t="str">
        <f>"009997"</f>
        <v>009997</v>
      </c>
      <c r="T50" s="10">
        <v>43551</v>
      </c>
      <c r="U50" s="14">
        <v>17.71733</v>
      </c>
      <c r="V50" s="14">
        <v>1.3022199999999999</v>
      </c>
      <c r="W50" s="14">
        <v>16.415109999999999</v>
      </c>
      <c r="X50" s="11">
        <v>390</v>
      </c>
      <c r="Y50" s="10">
        <v>43552</v>
      </c>
      <c r="Z50" s="11">
        <v>9972204400</v>
      </c>
      <c r="AA50" s="12" t="s">
        <v>173</v>
      </c>
      <c r="AB50" s="11" t="s">
        <v>76</v>
      </c>
      <c r="AC50" s="12" t="s">
        <v>77</v>
      </c>
      <c r="AD50" s="11" t="s">
        <v>51</v>
      </c>
      <c r="AE50" s="12" t="s">
        <v>52</v>
      </c>
      <c r="AF50" s="14">
        <f t="shared" si="0"/>
        <v>0.17717330000000001</v>
      </c>
      <c r="AG50" s="11" t="s">
        <v>44</v>
      </c>
    </row>
    <row r="51" spans="1:33" x14ac:dyDescent="0.2">
      <c r="A51" s="8">
        <v>9969</v>
      </c>
      <c r="B51" s="9" t="s">
        <v>178</v>
      </c>
      <c r="C51" s="10">
        <v>43552</v>
      </c>
      <c r="D51" s="11">
        <v>71</v>
      </c>
      <c r="E51" s="12" t="s">
        <v>34</v>
      </c>
      <c r="F51" s="12" t="s">
        <v>34</v>
      </c>
      <c r="G51" s="12" t="s">
        <v>34</v>
      </c>
      <c r="H51" s="12" t="s">
        <v>35</v>
      </c>
      <c r="I51" s="11" t="s">
        <v>202</v>
      </c>
      <c r="J51" s="12" t="s">
        <v>203</v>
      </c>
      <c r="K51" s="13" t="s">
        <v>74</v>
      </c>
      <c r="L51" s="11" t="str">
        <f>"000013"</f>
        <v>000013</v>
      </c>
      <c r="M51" s="10">
        <v>42832</v>
      </c>
      <c r="N51" s="11" t="str">
        <f>"000016"</f>
        <v>000016</v>
      </c>
      <c r="O51" s="10">
        <v>42913</v>
      </c>
      <c r="P51" s="11" t="str">
        <f>"000110"</f>
        <v>000110</v>
      </c>
      <c r="Q51" s="10">
        <v>42914</v>
      </c>
      <c r="R51" s="11"/>
      <c r="S51" s="11" t="str">
        <f>"010000"</f>
        <v>010000</v>
      </c>
      <c r="T51" s="10">
        <v>43551</v>
      </c>
      <c r="U51" s="14">
        <v>13.266209999999999</v>
      </c>
      <c r="V51" s="14">
        <v>0.99507000000000001</v>
      </c>
      <c r="W51" s="14">
        <v>12.271140000000001</v>
      </c>
      <c r="X51" s="11">
        <v>390</v>
      </c>
      <c r="Y51" s="10">
        <v>43552</v>
      </c>
      <c r="Z51" s="11">
        <v>9972204400</v>
      </c>
      <c r="AA51" s="12" t="s">
        <v>173</v>
      </c>
      <c r="AB51" s="11" t="s">
        <v>76</v>
      </c>
      <c r="AC51" s="12" t="s">
        <v>77</v>
      </c>
      <c r="AD51" s="11" t="s">
        <v>51</v>
      </c>
      <c r="AE51" s="12" t="s">
        <v>52</v>
      </c>
      <c r="AF51" s="14">
        <f t="shared" si="0"/>
        <v>0.13266210000000001</v>
      </c>
      <c r="AG51" s="11" t="s">
        <v>44</v>
      </c>
    </row>
    <row r="52" spans="1:33" x14ac:dyDescent="0.2">
      <c r="A52" s="8">
        <v>10005</v>
      </c>
      <c r="B52" s="9" t="s">
        <v>178</v>
      </c>
      <c r="C52" s="10">
        <v>43552</v>
      </c>
      <c r="D52" s="11">
        <v>71</v>
      </c>
      <c r="E52" s="12" t="s">
        <v>34</v>
      </c>
      <c r="F52" s="12" t="s">
        <v>34</v>
      </c>
      <c r="G52" s="12" t="s">
        <v>34</v>
      </c>
      <c r="H52" s="12" t="s">
        <v>35</v>
      </c>
      <c r="I52" s="11" t="s">
        <v>204</v>
      </c>
      <c r="J52" s="12" t="s">
        <v>205</v>
      </c>
      <c r="K52" s="13" t="s">
        <v>47</v>
      </c>
      <c r="L52" s="11" t="str">
        <f>"000028"</f>
        <v>000028</v>
      </c>
      <c r="M52" s="10">
        <v>42835</v>
      </c>
      <c r="N52" s="11" t="str">
        <f>"000178"</f>
        <v>000178</v>
      </c>
      <c r="O52" s="10">
        <v>42916</v>
      </c>
      <c r="P52" s="11" t="str">
        <f>"000178"</f>
        <v>000178</v>
      </c>
      <c r="Q52" s="10">
        <v>42916</v>
      </c>
      <c r="R52" s="11"/>
      <c r="S52" s="11" t="str">
        <f>"010067"</f>
        <v>010067</v>
      </c>
      <c r="T52" s="10">
        <v>43552</v>
      </c>
      <c r="U52" s="14">
        <v>17.785910000000001</v>
      </c>
      <c r="V52" s="14">
        <v>1.0960700000000001</v>
      </c>
      <c r="W52" s="14">
        <v>16.68984</v>
      </c>
      <c r="X52" s="11">
        <v>390</v>
      </c>
      <c r="Y52" s="10">
        <v>43552</v>
      </c>
      <c r="Z52" s="11">
        <v>9880404202</v>
      </c>
      <c r="AA52" s="12" t="s">
        <v>206</v>
      </c>
      <c r="AB52" s="11" t="s">
        <v>76</v>
      </c>
      <c r="AC52" s="12" t="s">
        <v>77</v>
      </c>
      <c r="AD52" s="11" t="s">
        <v>51</v>
      </c>
      <c r="AE52" s="12" t="s">
        <v>52</v>
      </c>
      <c r="AF52" s="14">
        <f t="shared" si="0"/>
        <v>0.17785910000000002</v>
      </c>
      <c r="AG52" s="11" t="s">
        <v>44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2019-06-13T07:44:52Z</dcterms:modified>
</cp:coreProperties>
</file>