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5" i="1" l="1"/>
  <c r="S55" i="1"/>
  <c r="P55" i="1"/>
  <c r="N55" i="1"/>
  <c r="L55" i="1"/>
  <c r="AF54" i="1"/>
  <c r="S54" i="1"/>
  <c r="P54" i="1"/>
  <c r="N54" i="1"/>
  <c r="L54" i="1"/>
  <c r="AF53" i="1"/>
  <c r="S53" i="1"/>
  <c r="P53" i="1"/>
  <c r="N53" i="1"/>
  <c r="L53" i="1"/>
  <c r="AF52" i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<sst xmlns="http://schemas.openxmlformats.org/spreadsheetml/2006/main" count="789" uniqueCount="233">
  <si>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</si>
  <si>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</si>
  <si>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</si>
  <si>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</si>
  <si>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</si>
  <si>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</si>
  <si>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</si>
  <si>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</si>
  <si>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</si>
  <si>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</si>
  <si>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</si>
  <si>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</si>
  <si>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</si>
  <si>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</si>
  <si>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</si>
  <si>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</si>
  <si>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</si>
  <si>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</si>
  <si>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</si>
  <si>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</si>
  <si>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</si>
  <si>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</si>
  <si>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</si>
  <si>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</si>
  <si>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</si>
  <si>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</si>
  <si>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</si>
  <si>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</si>
  <si>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</si>
  <si>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</si>
  <si>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</si>
  <si>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</si>
  <si>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</si>
  <si>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May</t>
  </si>
  <si>
    <t>Dattatreya Temple Ward</t>
  </si>
  <si>
    <t>Gandhi Nagara</t>
  </si>
  <si>
    <t>West</t>
  </si>
  <si>
    <t>077-16-000011</t>
  </si>
  <si>
    <t>Providing cement concrete to 7th Cross, Pipeline in Ward No.77.</t>
  </si>
  <si>
    <t>Roads &amp; Drivablility</t>
  </si>
  <si>
    <t>N.Shiva Kumar</t>
  </si>
  <si>
    <t>P1771</t>
  </si>
  <si>
    <t>Zone Works - POW Works</t>
  </si>
  <si>
    <t>ddo202</t>
  </si>
  <si>
    <t xml:space="preserve"> Assistant Executive Engineer Gandinagar West Zone</t>
  </si>
  <si>
    <t>Pending</t>
  </si>
  <si>
    <t>077-15-000006</t>
  </si>
  <si>
    <t>Providing and Constructing CC to left over portion in Muneshwara Block in ward no.77</t>
  </si>
  <si>
    <t>Other Ward Works</t>
  </si>
  <si>
    <t>B N Naveen Kumar</t>
  </si>
  <si>
    <t>077-16-000015</t>
  </si>
  <si>
    <t>Providing cement concrete to Basappa Garden A Cross Road in Ward No.77</t>
  </si>
  <si>
    <t>077-15-000002</t>
  </si>
  <si>
    <t>Desilting of drains and resetting of slabs at 8th cross, pipeline main road in ward no.77</t>
  </si>
  <si>
    <t>Footpaths &amp; Walkability</t>
  </si>
  <si>
    <t>077-16-000013</t>
  </si>
  <si>
    <t>Providing cement concrete to E Main Road, Muneshwara Block in Ward No.77.</t>
  </si>
  <si>
    <t>077-16-000030</t>
  </si>
  <si>
    <t>Providing Additional Street lights fittings/ lights to Park / Play Ground, UG Cable, Panel Box and connected Accessories to Dattathreya Temple in ward no 77</t>
  </si>
  <si>
    <t>Trees, Parks &amp; Playgrounds</t>
  </si>
  <si>
    <t>Himagiri Sree Electricals</t>
  </si>
  <si>
    <t>P0287</t>
  </si>
  <si>
    <t>M and R to Electrical Crematoria</t>
  </si>
  <si>
    <t>ddo209</t>
  </si>
  <si>
    <t xml:space="preserve"> Assistant Executive Engineer Electrical West Zone</t>
  </si>
  <si>
    <t>077-15-000008</t>
  </si>
  <si>
    <t xml:space="preserve">Providing and Constructing SSM drain at F main in Muneshwara Block in ward no.77 </t>
  </si>
  <si>
    <t>S H Purushotham</t>
  </si>
  <si>
    <t>June</t>
  </si>
  <si>
    <t>077-17-000024</t>
  </si>
  <si>
    <t xml:space="preserve">Providing drinking water works in Ward No 77 in Gandhinagar Division </t>
  </si>
  <si>
    <t>Drinking Water</t>
  </si>
  <si>
    <t>Technical Manager KRIDL West</t>
  </si>
  <si>
    <t>P3110</t>
  </si>
  <si>
    <t>14th Finance Commission Grant Works</t>
  </si>
  <si>
    <t>077-11-000100</t>
  </si>
  <si>
    <t>Providing Bore Well and water supply connections in ward 77</t>
  </si>
  <si>
    <t>Water &amp; Sanitary</t>
  </si>
  <si>
    <t>KRIDL</t>
  </si>
  <si>
    <t>P2201</t>
  </si>
  <si>
    <t>Assembly Constituency Development Works under BBMP</t>
  </si>
  <si>
    <t>077-12-000017</t>
  </si>
  <si>
    <t>Drilling of Borewell and laying pipe line in Ward-no-77</t>
  </si>
  <si>
    <t>P1802</t>
  </si>
  <si>
    <t>Water Supply New Areas</t>
  </si>
  <si>
    <t>077-16-000006</t>
  </si>
  <si>
    <t>Construction of RCC drain near Anganawadi In Vivekananda Block In Ward-77</t>
  </si>
  <si>
    <t>P Suresh Babu</t>
  </si>
  <si>
    <t>077-18-000024</t>
  </si>
  <si>
    <t>Filling of pot holesin ward no-77</t>
  </si>
  <si>
    <t>P1878</t>
  </si>
  <si>
    <t>18per - Works (Bhagyajyothi, Sooru / Neeru Yojane and General) (54 Lakhs / New Wards)</t>
  </si>
  <si>
    <t>Current</t>
  </si>
  <si>
    <t>077-18-000022</t>
  </si>
  <si>
    <t>Providing CC road at A cross east link road (0 to 150mts) in ward no-77</t>
  </si>
  <si>
    <t>077-18-000023</t>
  </si>
  <si>
    <t>Improvements to road and drain at 5th cross pipeline and balance portion of east link road in ward no-77</t>
  </si>
  <si>
    <t>077-18-000016</t>
  </si>
  <si>
    <t>Improvements to road and drains at 2nd cross Kasturibanagar and surrounding areas in ward no-77</t>
  </si>
  <si>
    <t>077-18-000020</t>
  </si>
  <si>
    <t>Improvements to roads and drain at basappa garden C cross and surrounding areas in ward no-77</t>
  </si>
  <si>
    <t>077-18-000021</t>
  </si>
  <si>
    <t>Improvements to drains at A cross east link road and surrounding areas in ward no-77</t>
  </si>
  <si>
    <t>077-18-000017</t>
  </si>
  <si>
    <t>Improvements to road and drains at 2nd cross pipeline and surrounding areas in ward no-77</t>
  </si>
  <si>
    <t>077-18-000015</t>
  </si>
  <si>
    <t>Improvements to road and drains at 10th cross pipeline and surrounding areas in ward no-77</t>
  </si>
  <si>
    <t>077-18-000019</t>
  </si>
  <si>
    <t>Improvements to roads and drain at 2nd main road sheshadripuram and surrounding areas in ward no-77</t>
  </si>
  <si>
    <t>077-18-000018</t>
  </si>
  <si>
    <t>Providing street name boards in ward no-77</t>
  </si>
  <si>
    <t>July</t>
  </si>
  <si>
    <t>077-13-000026</t>
  </si>
  <si>
    <t>Providing cement concrete to conservancy of sirur park road in W-77</t>
  </si>
  <si>
    <t>Lakshmeesha</t>
  </si>
  <si>
    <t>077-16-000001</t>
  </si>
  <si>
    <t>Annual Operation And maintenance Of Street Lights at Datthatreya temple in Ward No-77</t>
  </si>
  <si>
    <t>Praveen Enterprises</t>
  </si>
  <si>
    <t>P0300</t>
  </si>
  <si>
    <t>M and R to Street Lights - Replacement of Burnt Bulbs etc. (Package)</t>
  </si>
  <si>
    <t>077-16-000031</t>
  </si>
  <si>
    <t xml:space="preserve">Providing Electrical maintenance and Additional fixtures to BBMP Buildings/ Hospitals/ Metarnity homes/ Schools in Gandhinagar Constituency Areas in ward no- 77, 94, 95, 96, 109, 120 and 121 </t>
  </si>
  <si>
    <t>Shree Vinayaka Electricals</t>
  </si>
  <si>
    <t>P0294</t>
  </si>
  <si>
    <t>M and R to Electrical Inst in BMP Buildings, Schools, M.Homes, Community Halls, Markets and Others</t>
  </si>
  <si>
    <t>Spill Over</t>
  </si>
  <si>
    <t>August</t>
  </si>
  <si>
    <t>077-17-000033</t>
  </si>
  <si>
    <t>Providing Borewells and R O plants (3 Nos) in ward no 77</t>
  </si>
  <si>
    <t>P3118</t>
  </si>
  <si>
    <t>Comprehensive developmental works at ward No.77, 29, Rs.3.00 cr each ward</t>
  </si>
  <si>
    <t>077-17-000045</t>
  </si>
  <si>
    <t>Providing drinking water supply works in ward no-77</t>
  </si>
  <si>
    <t>September</t>
  </si>
  <si>
    <t>077-16-000009</t>
  </si>
  <si>
    <t>Providing cement concrete patch work</t>
  </si>
  <si>
    <t>P Aravind</t>
  </si>
  <si>
    <t>077-17-000019</t>
  </si>
  <si>
    <t>Renovation to Dattatreya Temple Ward Office In Ward-77</t>
  </si>
  <si>
    <t>October</t>
  </si>
  <si>
    <t>077-16-000032</t>
  </si>
  <si>
    <t>Consultancy services for supervision Project Management and Quality Control for the work of Estimate for covering SWD V-100 between west office and Rajivgandhi circle side of idigara sanga building in ward no-94 (in sheshadripuram next to Arya Idigara sanga in ward no-77)</t>
  </si>
  <si>
    <t>Storm Water Drains</t>
  </si>
  <si>
    <t>M/s Deccan Engineers and Constructions</t>
  </si>
  <si>
    <t>P3106</t>
  </si>
  <si>
    <t>Nagarothana Works</t>
  </si>
  <si>
    <t>ddo313</t>
  </si>
  <si>
    <t xml:space="preserve"> Chief Engineer SWD Central Zone</t>
  </si>
  <si>
    <t>077-13-000004</t>
  </si>
  <si>
    <t>Construction of toilet and sump tank at anganawadi building in muneshwara block in W-77</t>
  </si>
  <si>
    <t>Health &amp; Sanitation</t>
  </si>
  <si>
    <t>J H Rudrappa</t>
  </si>
  <si>
    <t xml:space="preserve"> Assistant Executive Engineer Gandhinagar West Zone</t>
  </si>
  <si>
    <t>077-18-000026</t>
  </si>
  <si>
    <t>Providing LED Street lights and Auto switch in ward no 77</t>
  </si>
  <si>
    <t>Executive Engineer -1 KRIDL</t>
  </si>
  <si>
    <t>P3290</t>
  </si>
  <si>
    <t>14th Finance Commission Works - Providing Street Lights and Maintenance</t>
  </si>
  <si>
    <t>077-17-000010</t>
  </si>
  <si>
    <t>Comprahensive developmental works in ward no 77 and developmental works in Jakkasandra and surrounding area in ward no 77 Dathatreya Temple ward</t>
  </si>
  <si>
    <t>R Chandru</t>
  </si>
  <si>
    <t>P3111</t>
  </si>
  <si>
    <t>State Finance Commission Untied Grant Works</t>
  </si>
  <si>
    <t>ddo326</t>
  </si>
  <si>
    <t xml:space="preserve"> Executive Engineer SWM 1 Central Zone</t>
  </si>
  <si>
    <t>077-17-000011</t>
  </si>
  <si>
    <t>Developmental works at Conservency roads and surrounding area of 10th 11th 12th and 13th cross of Malleshwaram in ward no 77 Dathatreya Temple ward</t>
  </si>
  <si>
    <t>077-18-000055</t>
  </si>
  <si>
    <t>Providing borwells at 2nd cross malleshwarmindria kitchen and KC Hospital inside indira canteen and allied works at ward no -77</t>
  </si>
  <si>
    <t>Indira Canteen</t>
  </si>
  <si>
    <t>November</t>
  </si>
  <si>
    <t>077-18-000027</t>
  </si>
  <si>
    <t>Maintenance of ward office ward no 77</t>
  </si>
  <si>
    <t>Technical Manager  (West) Karnataka Rural Infrastructure Development Limited</t>
  </si>
  <si>
    <t>P3291</t>
  </si>
  <si>
    <t>14th Fin  -Maintenance of Cremotorium, Burial Grounds</t>
  </si>
  <si>
    <t>077-18-000028</t>
  </si>
  <si>
    <t>Improvements and Maintenance of park in ward no 77</t>
  </si>
  <si>
    <t>P3292</t>
  </si>
  <si>
    <t>14th Finance Commission Works - Community Property Maintenance (including Parks)</t>
  </si>
  <si>
    <t>077-18-000029</t>
  </si>
  <si>
    <t>Maintenance of publice Toilet in ward no 77</t>
  </si>
  <si>
    <t>P3294</t>
  </si>
  <si>
    <t>14th Finance Commission Works - General Public ToiletandSeptage Maintenance</t>
  </si>
  <si>
    <t>December</t>
  </si>
  <si>
    <t>077-18-000031</t>
  </si>
  <si>
    <t>Maintenance of Footpath and CC road in ward no 77</t>
  </si>
  <si>
    <t>P3296</t>
  </si>
  <si>
    <t>14th Finance Commission Works - Road and Footpath Maintenance</t>
  </si>
  <si>
    <t>077-18-000033</t>
  </si>
  <si>
    <t>Construction of Shelter in Garbeg collection center in Nagappa Street in ward no 77</t>
  </si>
  <si>
    <t>P3298</t>
  </si>
  <si>
    <t>14th Finance Commission Works - SWM Works</t>
  </si>
  <si>
    <t>077-18-000032</t>
  </si>
  <si>
    <t>Construction of Drain in ward no 77</t>
  </si>
  <si>
    <t>P3297</t>
  </si>
  <si>
    <t>14th Finance Commission Grants - SWD Works</t>
  </si>
  <si>
    <t>077-18-000030</t>
  </si>
  <si>
    <t>Construction of Manholes and laying of UGD pipelines works ward no 77</t>
  </si>
  <si>
    <t>P3295</t>
  </si>
  <si>
    <t>14th Finance Commission Works - UGD Works</t>
  </si>
  <si>
    <t>077-17-000040</t>
  </si>
  <si>
    <t>Engagement of Gangman and Hiring of Troctor Tippers for cleaning and Maintenance of road side drains and other cleaning works in works in ward no 77</t>
  </si>
  <si>
    <t>077-18-000025</t>
  </si>
  <si>
    <t>Drinking Water, Borewells pipelines ward no 77</t>
  </si>
  <si>
    <t>P3293</t>
  </si>
  <si>
    <t>14th Finance Commission Works - Drinking Water</t>
  </si>
  <si>
    <t>January</t>
  </si>
  <si>
    <t>Qubik Technologies</t>
  </si>
  <si>
    <t>077-18-000056</t>
  </si>
  <si>
    <t xml:space="preserve">Providing Asphalting and Improvements to 1st Main Road from Upper Pipeline Road to Guttahalli circle in Ward 77. </t>
  </si>
  <si>
    <t>P3158</t>
  </si>
  <si>
    <t>SIP Infrastructure Project works</t>
  </si>
  <si>
    <t>077-18-000001</t>
  </si>
  <si>
    <t>Comprehensive Development works in ward no 77</t>
  </si>
  <si>
    <t>Technical Manager(West)Karnataka Rural Infrastructure Development Ltd.,</t>
  </si>
  <si>
    <t>077-17-000021</t>
  </si>
  <si>
    <t>Emergency Works In Ward-77</t>
  </si>
  <si>
    <t>Abhijath Bhandarkar</t>
  </si>
  <si>
    <t>February</t>
  </si>
  <si>
    <t>077-16-000037</t>
  </si>
  <si>
    <t>Improvements to roads and drainage SC colony in Muneswara block in ward no-77</t>
  </si>
  <si>
    <t>077-16-000038</t>
  </si>
  <si>
    <t>Improements to roads and drainange ST colony Kasthurabha nagar in ward no-77</t>
  </si>
  <si>
    <t>077-17-000022</t>
  </si>
  <si>
    <t>Filling of Potholes In Ward-77</t>
  </si>
  <si>
    <t>K.Rameshkumar</t>
  </si>
  <si>
    <t>March</t>
  </si>
  <si>
    <t>077-18-000051</t>
  </si>
  <si>
    <t>Improvements to drain and providing CC road in Vivekananda block and anjaneya block in ward no-77</t>
  </si>
  <si>
    <t>077-17-000041</t>
  </si>
  <si>
    <t>Providing CC Camera at Garbage Block Spots in ward no 77</t>
  </si>
  <si>
    <t>Crime &amp; Safety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</si>
</sst>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5"/>
  <sheetViews>
    <sheetView tabSelected="1" workbookViewId="0">
      <pane ySplit="1" topLeftCell="A2" activePane="bottomLeft" state="frozen"/>
      <selection activeCell="H1" sqref="H1"/>
      <selection pane="bottomLeft" activeCell="A2" sqref="A2:XFD55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1187</v>
      </c>
      <c r="B2" s="9" t="s">
        <v>33</v>
      </c>
      <c r="C2" s="10">
        <v>43238</v>
      </c>
      <c r="D2" s="11">
        <v>77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"000162"</f>
        <v>000162</v>
      </c>
      <c r="M2" s="10">
        <v>42501</v>
      </c>
      <c r="N2" s="11" t="str">
        <f>"000094"</f>
        <v>000094</v>
      </c>
      <c r="O2" s="10">
        <v>42612</v>
      </c>
      <c r="P2" s="11" t="str">
        <f>"000235"</f>
        <v>000235</v>
      </c>
      <c r="Q2" s="10">
        <v>42612</v>
      </c>
      <c r="R2" s="11">
        <v>16</v>
      </c>
      <c r="S2" s="11" t="str">
        <f>"001431"</f>
        <v>001431</v>
      </c>
      <c r="T2" s="10">
        <v>43236</v>
      </c>
      <c r="U2" s="14">
        <v>5.9586100000000002</v>
      </c>
      <c r="V2" s="14">
        <v>0.74548999999999999</v>
      </c>
      <c r="W2" s="14">
        <v>5.21312</v>
      </c>
      <c r="X2" s="11">
        <v>52</v>
      </c>
      <c r="Y2" s="10">
        <v>43238</v>
      </c>
      <c r="Z2" s="11">
        <v>9980558555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5.9586100000000003E-2</v>
      </c>
      <c r="AG2" s="11" t="s">
        <v>45</v>
      </c>
    </row>
    <row r="3" spans="1:33" x14ac:dyDescent="0.2">
      <c r="A3" s="8">
        <v>1188</v>
      </c>
      <c r="B3" s="9" t="s">
        <v>33</v>
      </c>
      <c r="C3" s="10">
        <v>43238</v>
      </c>
      <c r="D3" s="11">
        <v>77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48</v>
      </c>
      <c r="L3" s="11" t="str">
        <f>"000160"</f>
        <v>000160</v>
      </c>
      <c r="M3" s="10">
        <v>42051</v>
      </c>
      <c r="N3" s="11" t="str">
        <f>"000099"</f>
        <v>000099</v>
      </c>
      <c r="O3" s="10">
        <v>42612</v>
      </c>
      <c r="P3" s="11" t="str">
        <f>"000248"</f>
        <v>000248</v>
      </c>
      <c r="Q3" s="10">
        <v>42612</v>
      </c>
      <c r="R3" s="11">
        <v>15</v>
      </c>
      <c r="S3" s="11" t="str">
        <f>"001439"</f>
        <v>001439</v>
      </c>
      <c r="T3" s="10">
        <v>43236</v>
      </c>
      <c r="U3" s="14">
        <v>5.7858400000000003</v>
      </c>
      <c r="V3" s="14">
        <v>0.77490000000000003</v>
      </c>
      <c r="W3" s="14">
        <v>5.0109399999999997</v>
      </c>
      <c r="X3" s="11">
        <v>52</v>
      </c>
      <c r="Y3" s="10">
        <v>43238</v>
      </c>
      <c r="Z3" s="11">
        <v>9480087461</v>
      </c>
      <c r="AA3" s="12" t="s">
        <v>49</v>
      </c>
      <c r="AB3" s="11" t="s">
        <v>41</v>
      </c>
      <c r="AC3" s="12" t="s">
        <v>42</v>
      </c>
      <c r="AD3" s="11" t="s">
        <v>43</v>
      </c>
      <c r="AE3" s="12" t="s">
        <v>44</v>
      </c>
      <c r="AF3" s="14">
        <v>5.7858400000000004E-2</v>
      </c>
      <c r="AG3" s="11" t="s">
        <v>45</v>
      </c>
    </row>
    <row r="4" spans="1:33" x14ac:dyDescent="0.2">
      <c r="A4" s="8">
        <v>1189</v>
      </c>
      <c r="B4" s="9" t="s">
        <v>33</v>
      </c>
      <c r="C4" s="10">
        <v>43238</v>
      </c>
      <c r="D4" s="11">
        <v>77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50</v>
      </c>
      <c r="J4" s="12" t="s">
        <v>51</v>
      </c>
      <c r="K4" s="13" t="s">
        <v>39</v>
      </c>
      <c r="L4" s="11" t="str">
        <f>"000128"</f>
        <v>000128</v>
      </c>
      <c r="M4" s="10">
        <v>42426</v>
      </c>
      <c r="N4" s="11" t="str">
        <f>"000101"</f>
        <v>000101</v>
      </c>
      <c r="O4" s="10">
        <v>42612</v>
      </c>
      <c r="P4" s="11" t="str">
        <f>"000249"</f>
        <v>000249</v>
      </c>
      <c r="Q4" s="10">
        <v>42612</v>
      </c>
      <c r="R4" s="11">
        <v>16</v>
      </c>
      <c r="S4" s="11" t="str">
        <f>"001440"</f>
        <v>001440</v>
      </c>
      <c r="T4" s="10">
        <v>43236</v>
      </c>
      <c r="U4" s="14">
        <v>6.7464000000000004</v>
      </c>
      <c r="V4" s="14">
        <v>0.87397999999999998</v>
      </c>
      <c r="W4" s="14">
        <v>5.87242</v>
      </c>
      <c r="X4" s="11">
        <v>52</v>
      </c>
      <c r="Y4" s="10">
        <v>43238</v>
      </c>
      <c r="Z4" s="11">
        <v>9480087461</v>
      </c>
      <c r="AA4" s="12" t="s">
        <v>49</v>
      </c>
      <c r="AB4" s="11" t="s">
        <v>41</v>
      </c>
      <c r="AC4" s="12" t="s">
        <v>42</v>
      </c>
      <c r="AD4" s="11" t="s">
        <v>43</v>
      </c>
      <c r="AE4" s="12" t="s">
        <v>44</v>
      </c>
      <c r="AF4" s="14">
        <v>6.746400000000001E-2</v>
      </c>
      <c r="AG4" s="11" t="s">
        <v>45</v>
      </c>
    </row>
    <row r="5" spans="1:33" x14ac:dyDescent="0.2">
      <c r="A5" s="8">
        <v>1190</v>
      </c>
      <c r="B5" s="9" t="s">
        <v>33</v>
      </c>
      <c r="C5" s="10">
        <v>43238</v>
      </c>
      <c r="D5" s="11">
        <v>77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52</v>
      </c>
      <c r="J5" s="12" t="s">
        <v>53</v>
      </c>
      <c r="K5" s="13" t="s">
        <v>54</v>
      </c>
      <c r="L5" s="11" t="str">
        <f>"000059"</f>
        <v>000059</v>
      </c>
      <c r="M5" s="10">
        <v>42051</v>
      </c>
      <c r="N5" s="11" t="str">
        <f>"000102"</f>
        <v>000102</v>
      </c>
      <c r="O5" s="10">
        <v>42612</v>
      </c>
      <c r="P5" s="11" t="str">
        <f>"000250"</f>
        <v>000250</v>
      </c>
      <c r="Q5" s="10">
        <v>42612</v>
      </c>
      <c r="R5" s="11">
        <v>15</v>
      </c>
      <c r="S5" s="11" t="str">
        <f>"001441"</f>
        <v>001441</v>
      </c>
      <c r="T5" s="10">
        <v>43236</v>
      </c>
      <c r="U5" s="14">
        <v>7.0875700000000004</v>
      </c>
      <c r="V5" s="14">
        <v>0.95804999999999996</v>
      </c>
      <c r="W5" s="14">
        <v>6.1295200000000003</v>
      </c>
      <c r="X5" s="11">
        <v>52</v>
      </c>
      <c r="Y5" s="10">
        <v>43238</v>
      </c>
      <c r="Z5" s="11">
        <v>9480087461</v>
      </c>
      <c r="AA5" s="12" t="s">
        <v>49</v>
      </c>
      <c r="AB5" s="11" t="s">
        <v>41</v>
      </c>
      <c r="AC5" s="12" t="s">
        <v>42</v>
      </c>
      <c r="AD5" s="11" t="s">
        <v>43</v>
      </c>
      <c r="AE5" s="12" t="s">
        <v>44</v>
      </c>
      <c r="AF5" s="14">
        <v>7.08757E-2</v>
      </c>
      <c r="AG5" s="11" t="s">
        <v>45</v>
      </c>
    </row>
    <row r="6" spans="1:33" x14ac:dyDescent="0.2">
      <c r="A6" s="8">
        <v>1191</v>
      </c>
      <c r="B6" s="9" t="s">
        <v>33</v>
      </c>
      <c r="C6" s="10">
        <v>43238</v>
      </c>
      <c r="D6" s="11">
        <v>77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55</v>
      </c>
      <c r="J6" s="12" t="s">
        <v>56</v>
      </c>
      <c r="K6" s="13" t="s">
        <v>39</v>
      </c>
      <c r="L6" s="11" t="str">
        <f>"000144"</f>
        <v>000144</v>
      </c>
      <c r="M6" s="10">
        <v>42432</v>
      </c>
      <c r="N6" s="11" t="str">
        <f>"000100"</f>
        <v>000100</v>
      </c>
      <c r="O6" s="10">
        <v>42612</v>
      </c>
      <c r="P6" s="11" t="str">
        <f>"000251"</f>
        <v>000251</v>
      </c>
      <c r="Q6" s="10">
        <v>42612</v>
      </c>
      <c r="R6" s="11">
        <v>16</v>
      </c>
      <c r="S6" s="11" t="str">
        <f>"001442"</f>
        <v>001442</v>
      </c>
      <c r="T6" s="10">
        <v>43236</v>
      </c>
      <c r="U6" s="14">
        <v>5.8469100000000003</v>
      </c>
      <c r="V6" s="14">
        <v>0.80379</v>
      </c>
      <c r="W6" s="14">
        <v>5.04312</v>
      </c>
      <c r="X6" s="11">
        <v>52</v>
      </c>
      <c r="Y6" s="10">
        <v>43238</v>
      </c>
      <c r="Z6" s="11">
        <v>9480087461</v>
      </c>
      <c r="AA6" s="12" t="s">
        <v>49</v>
      </c>
      <c r="AB6" s="11" t="s">
        <v>41</v>
      </c>
      <c r="AC6" s="12" t="s">
        <v>42</v>
      </c>
      <c r="AD6" s="11" t="s">
        <v>43</v>
      </c>
      <c r="AE6" s="12" t="s">
        <v>44</v>
      </c>
      <c r="AF6" s="14">
        <v>5.8469100000000003E-2</v>
      </c>
      <c r="AG6" s="11" t="s">
        <v>45</v>
      </c>
    </row>
    <row r="7" spans="1:33" x14ac:dyDescent="0.2">
      <c r="A7" s="8">
        <v>1432</v>
      </c>
      <c r="B7" s="9" t="s">
        <v>33</v>
      </c>
      <c r="C7" s="10">
        <v>43242</v>
      </c>
      <c r="D7" s="11">
        <v>77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57</v>
      </c>
      <c r="J7" s="12" t="s">
        <v>58</v>
      </c>
      <c r="K7" s="13" t="s">
        <v>59</v>
      </c>
      <c r="L7" s="11" t="str">
        <f>"000037"</f>
        <v>000037</v>
      </c>
      <c r="M7" s="10">
        <v>42880</v>
      </c>
      <c r="N7" s="11" t="str">
        <f>"000101"</f>
        <v>000101</v>
      </c>
      <c r="O7" s="10">
        <v>42881</v>
      </c>
      <c r="P7" s="11" t="str">
        <f>"000221"</f>
        <v>000221</v>
      </c>
      <c r="Q7" s="10">
        <v>42782</v>
      </c>
      <c r="R7" s="11">
        <v>16</v>
      </c>
      <c r="S7" s="11" t="str">
        <f>"001534"</f>
        <v>001534</v>
      </c>
      <c r="T7" s="10">
        <v>43238</v>
      </c>
      <c r="U7" s="14">
        <v>10.8622</v>
      </c>
      <c r="V7" s="14">
        <v>1.4571700000000001</v>
      </c>
      <c r="W7" s="14">
        <v>9.40503</v>
      </c>
      <c r="X7" s="11">
        <v>59</v>
      </c>
      <c r="Y7" s="10">
        <v>43242</v>
      </c>
      <c r="Z7" s="11">
        <v>9980663344</v>
      </c>
      <c r="AA7" s="12" t="s">
        <v>60</v>
      </c>
      <c r="AB7" s="11" t="s">
        <v>61</v>
      </c>
      <c r="AC7" s="12" t="s">
        <v>62</v>
      </c>
      <c r="AD7" s="11" t="s">
        <v>63</v>
      </c>
      <c r="AE7" s="12" t="s">
        <v>64</v>
      </c>
      <c r="AF7" s="14">
        <v>0.108622</v>
      </c>
      <c r="AG7" s="11" t="s">
        <v>45</v>
      </c>
    </row>
    <row r="8" spans="1:33" x14ac:dyDescent="0.2">
      <c r="A8" s="8">
        <v>1529</v>
      </c>
      <c r="B8" s="9" t="s">
        <v>33</v>
      </c>
      <c r="C8" s="10">
        <v>43251</v>
      </c>
      <c r="D8" s="11">
        <v>77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65</v>
      </c>
      <c r="J8" s="12" t="s">
        <v>66</v>
      </c>
      <c r="K8" s="13" t="s">
        <v>54</v>
      </c>
      <c r="L8" s="11" t="str">
        <f>"000167"</f>
        <v>000167</v>
      </c>
      <c r="M8" s="10">
        <v>42051</v>
      </c>
      <c r="N8" s="11" t="str">
        <f>"000103"</f>
        <v>000103</v>
      </c>
      <c r="O8" s="10">
        <v>42825</v>
      </c>
      <c r="P8" s="11" t="str">
        <f>"000247"</f>
        <v>000247</v>
      </c>
      <c r="Q8" s="10">
        <v>42612</v>
      </c>
      <c r="R8" s="11">
        <v>15</v>
      </c>
      <c r="S8" s="11" t="str">
        <f>"001979"</f>
        <v>001979</v>
      </c>
      <c r="T8" s="10">
        <v>43246</v>
      </c>
      <c r="U8" s="14">
        <v>10.829610000000001</v>
      </c>
      <c r="V8" s="14">
        <v>1.4939899999999999</v>
      </c>
      <c r="W8" s="14">
        <v>9.3356200000000005</v>
      </c>
      <c r="X8" s="11">
        <v>67</v>
      </c>
      <c r="Y8" s="10">
        <v>43251</v>
      </c>
      <c r="Z8" s="11">
        <v>9480087461</v>
      </c>
      <c r="AA8" s="12" t="s">
        <v>67</v>
      </c>
      <c r="AB8" s="11" t="s">
        <v>41</v>
      </c>
      <c r="AC8" s="12" t="s">
        <v>42</v>
      </c>
      <c r="AD8" s="11" t="s">
        <v>43</v>
      </c>
      <c r="AE8" s="12" t="s">
        <v>44</v>
      </c>
      <c r="AF8" s="14">
        <v>0.10829610000000001</v>
      </c>
      <c r="AG8" s="11" t="s">
        <v>45</v>
      </c>
    </row>
    <row r="9" spans="1:33" x14ac:dyDescent="0.2">
      <c r="A9" s="8">
        <v>1803</v>
      </c>
      <c r="B9" s="9" t="s">
        <v>68</v>
      </c>
      <c r="C9" s="10">
        <v>43257</v>
      </c>
      <c r="D9" s="11">
        <v>77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69</v>
      </c>
      <c r="J9" s="12" t="s">
        <v>70</v>
      </c>
      <c r="K9" s="13" t="s">
        <v>71</v>
      </c>
      <c r="L9" s="11" t="str">
        <f>"000080"</f>
        <v>000080</v>
      </c>
      <c r="M9" s="10">
        <v>43187</v>
      </c>
      <c r="N9" s="11" t="str">
        <f>"000060"</f>
        <v>000060</v>
      </c>
      <c r="O9" s="10">
        <v>43187</v>
      </c>
      <c r="P9" s="11" t="str">
        <f>"000077"</f>
        <v>000077</v>
      </c>
      <c r="Q9" s="10">
        <v>43187</v>
      </c>
      <c r="R9" s="11">
        <v>17</v>
      </c>
      <c r="S9" s="11" t="str">
        <f>"002055"</f>
        <v>002055</v>
      </c>
      <c r="T9" s="10">
        <v>43249</v>
      </c>
      <c r="U9" s="14">
        <v>12.772629999999999</v>
      </c>
      <c r="V9" s="14">
        <v>1.52023</v>
      </c>
      <c r="W9" s="14">
        <v>11.2524</v>
      </c>
      <c r="X9" s="11">
        <v>72</v>
      </c>
      <c r="Y9" s="10">
        <v>43257</v>
      </c>
      <c r="Z9" s="11">
        <v>9483161122</v>
      </c>
      <c r="AA9" s="12" t="s">
        <v>72</v>
      </c>
      <c r="AB9" s="11" t="s">
        <v>73</v>
      </c>
      <c r="AC9" s="12" t="s">
        <v>74</v>
      </c>
      <c r="AD9" s="11" t="s">
        <v>43</v>
      </c>
      <c r="AE9" s="12" t="s">
        <v>44</v>
      </c>
      <c r="AF9" s="14">
        <v>0.12772629999999999</v>
      </c>
      <c r="AG9" s="11" t="s">
        <v>45</v>
      </c>
    </row>
    <row r="10" spans="1:33" x14ac:dyDescent="0.2">
      <c r="A10" s="8">
        <v>2025</v>
      </c>
      <c r="B10" s="9" t="s">
        <v>68</v>
      </c>
      <c r="C10" s="10">
        <v>43262</v>
      </c>
      <c r="D10" s="11">
        <v>77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75</v>
      </c>
      <c r="J10" s="12" t="s">
        <v>76</v>
      </c>
      <c r="K10" s="13" t="s">
        <v>77</v>
      </c>
      <c r="L10" s="11" t="str">
        <f>"000611"</f>
        <v>000611</v>
      </c>
      <c r="M10" s="10">
        <v>41519</v>
      </c>
      <c r="N10" s="11" t="str">
        <f>"000005"</f>
        <v>000005</v>
      </c>
      <c r="O10" s="10">
        <v>42880</v>
      </c>
      <c r="P10" s="11" t="str">
        <f>"000166"</f>
        <v>000166</v>
      </c>
      <c r="Q10" s="10">
        <v>42884</v>
      </c>
      <c r="R10" s="11">
        <v>11</v>
      </c>
      <c r="S10" s="11" t="str">
        <f>"002258"</f>
        <v>002258</v>
      </c>
      <c r="T10" s="10">
        <v>43257</v>
      </c>
      <c r="U10" s="14">
        <v>10.88945</v>
      </c>
      <c r="V10" s="14">
        <v>1.48654</v>
      </c>
      <c r="W10" s="14">
        <v>9.4029100000000003</v>
      </c>
      <c r="X10" s="11">
        <v>79</v>
      </c>
      <c r="Y10" s="10">
        <v>43262</v>
      </c>
      <c r="Z10" s="11">
        <v>8023330521</v>
      </c>
      <c r="AA10" s="12" t="s">
        <v>78</v>
      </c>
      <c r="AB10" s="11" t="s">
        <v>79</v>
      </c>
      <c r="AC10" s="12" t="s">
        <v>80</v>
      </c>
      <c r="AD10" s="11" t="s">
        <v>43</v>
      </c>
      <c r="AE10" s="12" t="s">
        <v>44</v>
      </c>
      <c r="AF10" s="14">
        <v>0.10889450000000001</v>
      </c>
      <c r="AG10" s="11" t="s">
        <v>45</v>
      </c>
    </row>
    <row r="11" spans="1:33" x14ac:dyDescent="0.2">
      <c r="A11" s="8">
        <v>2026</v>
      </c>
      <c r="B11" s="9" t="s">
        <v>68</v>
      </c>
      <c r="C11" s="10">
        <v>43262</v>
      </c>
      <c r="D11" s="11">
        <v>77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81</v>
      </c>
      <c r="J11" s="12" t="s">
        <v>82</v>
      </c>
      <c r="K11" s="13" t="s">
        <v>77</v>
      </c>
      <c r="L11" s="11" t="str">
        <f>"000612"</f>
        <v>000612</v>
      </c>
      <c r="M11" s="10">
        <v>41519</v>
      </c>
      <c r="N11" s="11" t="str">
        <f>"000006"</f>
        <v>000006</v>
      </c>
      <c r="O11" s="10">
        <v>42880</v>
      </c>
      <c r="P11" s="11" t="str">
        <f>"000167"</f>
        <v>000167</v>
      </c>
      <c r="Q11" s="10">
        <v>42884</v>
      </c>
      <c r="R11" s="11">
        <v>12</v>
      </c>
      <c r="S11" s="11" t="str">
        <f>"002259"</f>
        <v>002259</v>
      </c>
      <c r="T11" s="10">
        <v>43257</v>
      </c>
      <c r="U11" s="14">
        <v>5.4138200000000003</v>
      </c>
      <c r="V11" s="14">
        <v>0.73216999999999999</v>
      </c>
      <c r="W11" s="14">
        <v>4.6816500000000003</v>
      </c>
      <c r="X11" s="11">
        <v>79</v>
      </c>
      <c r="Y11" s="10">
        <v>43262</v>
      </c>
      <c r="Z11" s="11">
        <v>8023330521</v>
      </c>
      <c r="AA11" s="12" t="s">
        <v>78</v>
      </c>
      <c r="AB11" s="11" t="s">
        <v>83</v>
      </c>
      <c r="AC11" s="12" t="s">
        <v>84</v>
      </c>
      <c r="AD11" s="11" t="s">
        <v>43</v>
      </c>
      <c r="AE11" s="12" t="s">
        <v>44</v>
      </c>
      <c r="AF11" s="14">
        <v>5.4138200000000004E-2</v>
      </c>
      <c r="AG11" s="11" t="s">
        <v>45</v>
      </c>
    </row>
    <row r="12" spans="1:33" x14ac:dyDescent="0.2">
      <c r="A12" s="8">
        <v>2027</v>
      </c>
      <c r="B12" s="9" t="s">
        <v>68</v>
      </c>
      <c r="C12" s="10">
        <v>43262</v>
      </c>
      <c r="D12" s="11">
        <v>77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85</v>
      </c>
      <c r="J12" s="12" t="s">
        <v>86</v>
      </c>
      <c r="K12" s="13" t="s">
        <v>54</v>
      </c>
      <c r="L12" s="11" t="str">
        <f>"000066"</f>
        <v>000066</v>
      </c>
      <c r="M12" s="10">
        <v>42542</v>
      </c>
      <c r="N12" s="11" t="str">
        <f>"000113"</f>
        <v>000113</v>
      </c>
      <c r="O12" s="10">
        <v>42633</v>
      </c>
      <c r="P12" s="11" t="str">
        <f>"000291"</f>
        <v>000291</v>
      </c>
      <c r="Q12" s="10">
        <v>42633</v>
      </c>
      <c r="R12" s="11">
        <v>16</v>
      </c>
      <c r="S12" s="11" t="str">
        <f>"002302"</f>
        <v>002302</v>
      </c>
      <c r="T12" s="10">
        <v>43258</v>
      </c>
      <c r="U12" s="14">
        <v>4.8246799999999999</v>
      </c>
      <c r="V12" s="14">
        <v>0.64637999999999995</v>
      </c>
      <c r="W12" s="14">
        <v>4.1783000000000001</v>
      </c>
      <c r="X12" s="11">
        <v>80</v>
      </c>
      <c r="Y12" s="10">
        <v>43262</v>
      </c>
      <c r="Z12" s="11">
        <v>9738426262</v>
      </c>
      <c r="AA12" s="12" t="s">
        <v>87</v>
      </c>
      <c r="AB12" s="11" t="s">
        <v>41</v>
      </c>
      <c r="AC12" s="12" t="s">
        <v>42</v>
      </c>
      <c r="AD12" s="11" t="s">
        <v>43</v>
      </c>
      <c r="AE12" s="12" t="s">
        <v>44</v>
      </c>
      <c r="AF12" s="14">
        <v>4.8246799999999999E-2</v>
      </c>
      <c r="AG12" s="11" t="s">
        <v>45</v>
      </c>
    </row>
    <row r="13" spans="1:33" x14ac:dyDescent="0.2">
      <c r="A13" s="8">
        <v>2310</v>
      </c>
      <c r="B13" s="9" t="s">
        <v>68</v>
      </c>
      <c r="C13" s="10">
        <v>43269</v>
      </c>
      <c r="D13" s="11">
        <v>77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88</v>
      </c>
      <c r="J13" s="12" t="s">
        <v>89</v>
      </c>
      <c r="K13" s="13" t="s">
        <v>39</v>
      </c>
      <c r="L13" s="11" t="str">
        <f>"000027"</f>
        <v>000027</v>
      </c>
      <c r="M13" s="10">
        <v>43238</v>
      </c>
      <c r="N13" s="11" t="str">
        <f>"000020"</f>
        <v>000020</v>
      </c>
      <c r="O13" s="10">
        <v>43238</v>
      </c>
      <c r="P13" s="11" t="str">
        <f>"000026"</f>
        <v>000026</v>
      </c>
      <c r="Q13" s="10">
        <v>43238</v>
      </c>
      <c r="R13" s="11">
        <v>18</v>
      </c>
      <c r="S13" s="11" t="str">
        <f>"002237"</f>
        <v>002237</v>
      </c>
      <c r="T13" s="10">
        <v>43257</v>
      </c>
      <c r="U13" s="14">
        <v>19.996700000000001</v>
      </c>
      <c r="V13" s="14">
        <v>2.2459699999999998</v>
      </c>
      <c r="W13" s="14">
        <v>17.750730000000001</v>
      </c>
      <c r="X13" s="11">
        <v>93</v>
      </c>
      <c r="Y13" s="10">
        <v>43269</v>
      </c>
      <c r="Z13" s="11">
        <v>8023330521</v>
      </c>
      <c r="AA13" s="12" t="s">
        <v>78</v>
      </c>
      <c r="AB13" s="11" t="s">
        <v>90</v>
      </c>
      <c r="AC13" s="12" t="s">
        <v>91</v>
      </c>
      <c r="AD13" s="11" t="s">
        <v>43</v>
      </c>
      <c r="AE13" s="12" t="s">
        <v>44</v>
      </c>
      <c r="AF13" s="14">
        <v>0.19996700000000001</v>
      </c>
      <c r="AG13" s="11" t="s">
        <v>92</v>
      </c>
    </row>
    <row r="14" spans="1:33" x14ac:dyDescent="0.2">
      <c r="A14" s="8">
        <v>2311</v>
      </c>
      <c r="B14" s="9" t="s">
        <v>68</v>
      </c>
      <c r="C14" s="10">
        <v>43269</v>
      </c>
      <c r="D14" s="11">
        <v>77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93</v>
      </c>
      <c r="J14" s="12" t="s">
        <v>94</v>
      </c>
      <c r="K14" s="13" t="s">
        <v>39</v>
      </c>
      <c r="L14" s="11" t="str">
        <f>"000028"</f>
        <v>000028</v>
      </c>
      <c r="M14" s="10">
        <v>43238</v>
      </c>
      <c r="N14" s="11" t="str">
        <f>"000021"</f>
        <v>000021</v>
      </c>
      <c r="O14" s="10">
        <v>43238</v>
      </c>
      <c r="P14" s="11" t="str">
        <f>"000027"</f>
        <v>000027</v>
      </c>
      <c r="Q14" s="10">
        <v>43238</v>
      </c>
      <c r="R14" s="11">
        <v>18</v>
      </c>
      <c r="S14" s="11" t="str">
        <f>"002238"</f>
        <v>002238</v>
      </c>
      <c r="T14" s="10">
        <v>43257</v>
      </c>
      <c r="U14" s="14">
        <v>19.997599999999998</v>
      </c>
      <c r="V14" s="14">
        <v>2.2502499999999999</v>
      </c>
      <c r="W14" s="14">
        <v>17.747350000000001</v>
      </c>
      <c r="X14" s="11">
        <v>93</v>
      </c>
      <c r="Y14" s="10">
        <v>43269</v>
      </c>
      <c r="Z14" s="11">
        <v>8023330521</v>
      </c>
      <c r="AA14" s="12" t="s">
        <v>78</v>
      </c>
      <c r="AB14" s="11" t="s">
        <v>90</v>
      </c>
      <c r="AC14" s="12" t="s">
        <v>91</v>
      </c>
      <c r="AD14" s="11" t="s">
        <v>43</v>
      </c>
      <c r="AE14" s="12" t="s">
        <v>44</v>
      </c>
      <c r="AF14" s="14">
        <v>0.19997599999999999</v>
      </c>
      <c r="AG14" s="11" t="s">
        <v>92</v>
      </c>
    </row>
    <row r="15" spans="1:33" x14ac:dyDescent="0.2">
      <c r="A15" s="8">
        <v>2312</v>
      </c>
      <c r="B15" s="9" t="s">
        <v>68</v>
      </c>
      <c r="C15" s="10">
        <v>43269</v>
      </c>
      <c r="D15" s="11">
        <v>77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95</v>
      </c>
      <c r="J15" s="12" t="s">
        <v>96</v>
      </c>
      <c r="K15" s="13" t="s">
        <v>39</v>
      </c>
      <c r="L15" s="11" t="str">
        <f>"000029"</f>
        <v>000029</v>
      </c>
      <c r="M15" s="10">
        <v>43238</v>
      </c>
      <c r="N15" s="11" t="str">
        <f>"000022"</f>
        <v>000022</v>
      </c>
      <c r="O15" s="10">
        <v>43238</v>
      </c>
      <c r="P15" s="11" t="str">
        <f>"000028"</f>
        <v>000028</v>
      </c>
      <c r="Q15" s="10">
        <v>43238</v>
      </c>
      <c r="R15" s="11">
        <v>18</v>
      </c>
      <c r="S15" s="11" t="str">
        <f>"002239"</f>
        <v>002239</v>
      </c>
      <c r="T15" s="10">
        <v>43257</v>
      </c>
      <c r="U15" s="14">
        <v>19.998999999999999</v>
      </c>
      <c r="V15" s="14">
        <v>2.2476099999999999</v>
      </c>
      <c r="W15" s="14">
        <v>17.751390000000001</v>
      </c>
      <c r="X15" s="11">
        <v>93</v>
      </c>
      <c r="Y15" s="10">
        <v>43269</v>
      </c>
      <c r="Z15" s="11">
        <v>8023330521</v>
      </c>
      <c r="AA15" s="12" t="s">
        <v>78</v>
      </c>
      <c r="AB15" s="11" t="s">
        <v>90</v>
      </c>
      <c r="AC15" s="12" t="s">
        <v>91</v>
      </c>
      <c r="AD15" s="11" t="s">
        <v>43</v>
      </c>
      <c r="AE15" s="12" t="s">
        <v>44</v>
      </c>
      <c r="AF15" s="14">
        <v>0.19999</v>
      </c>
      <c r="AG15" s="11" t="s">
        <v>92</v>
      </c>
    </row>
    <row r="16" spans="1:33" x14ac:dyDescent="0.2">
      <c r="A16" s="8">
        <v>2313</v>
      </c>
      <c r="B16" s="9" t="s">
        <v>68</v>
      </c>
      <c r="C16" s="10">
        <v>43269</v>
      </c>
      <c r="D16" s="11">
        <v>77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97</v>
      </c>
      <c r="J16" s="12" t="s">
        <v>98</v>
      </c>
      <c r="K16" s="13" t="s">
        <v>39</v>
      </c>
      <c r="L16" s="11" t="str">
        <f>"000030"</f>
        <v>000030</v>
      </c>
      <c r="M16" s="10">
        <v>43238</v>
      </c>
      <c r="N16" s="11" t="str">
        <f>"000023"</f>
        <v>000023</v>
      </c>
      <c r="O16" s="10">
        <v>43238</v>
      </c>
      <c r="P16" s="11" t="str">
        <f>"000029"</f>
        <v>000029</v>
      </c>
      <c r="Q16" s="10">
        <v>43238</v>
      </c>
      <c r="R16" s="11">
        <v>18</v>
      </c>
      <c r="S16" s="11" t="str">
        <f>"002240"</f>
        <v>002240</v>
      </c>
      <c r="T16" s="10">
        <v>43257</v>
      </c>
      <c r="U16" s="14">
        <v>19.997129999999999</v>
      </c>
      <c r="V16" s="14">
        <v>2.2442299999999999</v>
      </c>
      <c r="W16" s="14">
        <v>17.7529</v>
      </c>
      <c r="X16" s="11">
        <v>93</v>
      </c>
      <c r="Y16" s="10">
        <v>43269</v>
      </c>
      <c r="Z16" s="11">
        <v>8023330521</v>
      </c>
      <c r="AA16" s="12" t="s">
        <v>78</v>
      </c>
      <c r="AB16" s="11" t="s">
        <v>90</v>
      </c>
      <c r="AC16" s="12" t="s">
        <v>91</v>
      </c>
      <c r="AD16" s="11" t="s">
        <v>43</v>
      </c>
      <c r="AE16" s="12" t="s">
        <v>44</v>
      </c>
      <c r="AF16" s="14">
        <v>0.19997129999999999</v>
      </c>
      <c r="AG16" s="11" t="s">
        <v>92</v>
      </c>
    </row>
    <row r="17" spans="1:33" x14ac:dyDescent="0.2">
      <c r="A17" s="8">
        <v>2314</v>
      </c>
      <c r="B17" s="9" t="s">
        <v>68</v>
      </c>
      <c r="C17" s="10">
        <v>43269</v>
      </c>
      <c r="D17" s="11">
        <v>77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99</v>
      </c>
      <c r="J17" s="12" t="s">
        <v>100</v>
      </c>
      <c r="K17" s="13" t="s">
        <v>39</v>
      </c>
      <c r="L17" s="11" t="str">
        <f>"000032"</f>
        <v>000032</v>
      </c>
      <c r="M17" s="10">
        <v>43238</v>
      </c>
      <c r="N17" s="11" t="str">
        <f>"000025"</f>
        <v>000025</v>
      </c>
      <c r="O17" s="10">
        <v>43238</v>
      </c>
      <c r="P17" s="11" t="str">
        <f>"000030"</f>
        <v>000030</v>
      </c>
      <c r="Q17" s="10">
        <v>43238</v>
      </c>
      <c r="R17" s="11">
        <v>18</v>
      </c>
      <c r="S17" s="11" t="str">
        <f>"002241"</f>
        <v>002241</v>
      </c>
      <c r="T17" s="10">
        <v>43257</v>
      </c>
      <c r="U17" s="14">
        <v>19.999289999999998</v>
      </c>
      <c r="V17" s="14">
        <v>2.2478099999999999</v>
      </c>
      <c r="W17" s="14">
        <v>17.751480000000001</v>
      </c>
      <c r="X17" s="11">
        <v>93</v>
      </c>
      <c r="Y17" s="10">
        <v>43269</v>
      </c>
      <c r="Z17" s="11">
        <v>8023330521</v>
      </c>
      <c r="AA17" s="12" t="s">
        <v>78</v>
      </c>
      <c r="AB17" s="11" t="s">
        <v>90</v>
      </c>
      <c r="AC17" s="12" t="s">
        <v>91</v>
      </c>
      <c r="AD17" s="11" t="s">
        <v>43</v>
      </c>
      <c r="AE17" s="12" t="s">
        <v>44</v>
      </c>
      <c r="AF17" s="14">
        <v>0.19999289999999997</v>
      </c>
      <c r="AG17" s="11" t="s">
        <v>92</v>
      </c>
    </row>
    <row r="18" spans="1:33" x14ac:dyDescent="0.2">
      <c r="A18" s="8">
        <v>2315</v>
      </c>
      <c r="B18" s="9" t="s">
        <v>68</v>
      </c>
      <c r="C18" s="10">
        <v>43269</v>
      </c>
      <c r="D18" s="11">
        <v>77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101</v>
      </c>
      <c r="J18" s="12" t="s">
        <v>102</v>
      </c>
      <c r="K18" s="13" t="s">
        <v>54</v>
      </c>
      <c r="L18" s="11" t="str">
        <f>"000033"</f>
        <v>000033</v>
      </c>
      <c r="M18" s="10">
        <v>43238</v>
      </c>
      <c r="N18" s="11" t="str">
        <f>"000026"</f>
        <v>000026</v>
      </c>
      <c r="O18" s="10">
        <v>43238</v>
      </c>
      <c r="P18" s="11" t="str">
        <f>"000031"</f>
        <v>000031</v>
      </c>
      <c r="Q18" s="10">
        <v>43238</v>
      </c>
      <c r="R18" s="11">
        <v>18</v>
      </c>
      <c r="S18" s="11" t="str">
        <f>"002243"</f>
        <v>002243</v>
      </c>
      <c r="T18" s="10">
        <v>43257</v>
      </c>
      <c r="U18" s="14">
        <v>19.974910000000001</v>
      </c>
      <c r="V18" s="14">
        <v>2.2429700000000001</v>
      </c>
      <c r="W18" s="14">
        <v>17.731940000000002</v>
      </c>
      <c r="X18" s="11">
        <v>93</v>
      </c>
      <c r="Y18" s="10">
        <v>43269</v>
      </c>
      <c r="Z18" s="11">
        <v>8023330521</v>
      </c>
      <c r="AA18" s="12" t="s">
        <v>78</v>
      </c>
      <c r="AB18" s="11" t="s">
        <v>90</v>
      </c>
      <c r="AC18" s="12" t="s">
        <v>91</v>
      </c>
      <c r="AD18" s="11" t="s">
        <v>43</v>
      </c>
      <c r="AE18" s="12" t="s">
        <v>44</v>
      </c>
      <c r="AF18" s="14">
        <v>0.19974910000000001</v>
      </c>
      <c r="AG18" s="11" t="s">
        <v>92</v>
      </c>
    </row>
    <row r="19" spans="1:33" x14ac:dyDescent="0.2">
      <c r="A19" s="8">
        <v>2316</v>
      </c>
      <c r="B19" s="9" t="s">
        <v>68</v>
      </c>
      <c r="C19" s="10">
        <v>43269</v>
      </c>
      <c r="D19" s="11">
        <v>77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103</v>
      </c>
      <c r="J19" s="12" t="s">
        <v>104</v>
      </c>
      <c r="K19" s="13" t="s">
        <v>39</v>
      </c>
      <c r="L19" s="11" t="str">
        <f>"000034"</f>
        <v>000034</v>
      </c>
      <c r="M19" s="10">
        <v>43238</v>
      </c>
      <c r="N19" s="11" t="str">
        <f>"000027"</f>
        <v>000027</v>
      </c>
      <c r="O19" s="10">
        <v>43238</v>
      </c>
      <c r="P19" s="11" t="str">
        <f>"000032"</f>
        <v>000032</v>
      </c>
      <c r="Q19" s="10">
        <v>43238</v>
      </c>
      <c r="R19" s="11">
        <v>18</v>
      </c>
      <c r="S19" s="11" t="str">
        <f>"002244"</f>
        <v>002244</v>
      </c>
      <c r="T19" s="10">
        <v>43257</v>
      </c>
      <c r="U19" s="14">
        <v>19.997879999999999</v>
      </c>
      <c r="V19" s="14">
        <v>2.2478899999999999</v>
      </c>
      <c r="W19" s="14">
        <v>17.74999</v>
      </c>
      <c r="X19" s="11">
        <v>93</v>
      </c>
      <c r="Y19" s="10">
        <v>43269</v>
      </c>
      <c r="Z19" s="11">
        <v>8023330521</v>
      </c>
      <c r="AA19" s="12" t="s">
        <v>78</v>
      </c>
      <c r="AB19" s="11" t="s">
        <v>90</v>
      </c>
      <c r="AC19" s="12" t="s">
        <v>91</v>
      </c>
      <c r="AD19" s="11" t="s">
        <v>43</v>
      </c>
      <c r="AE19" s="12" t="s">
        <v>44</v>
      </c>
      <c r="AF19" s="14">
        <v>0.19997879999999998</v>
      </c>
      <c r="AG19" s="11" t="s">
        <v>92</v>
      </c>
    </row>
    <row r="20" spans="1:33" x14ac:dyDescent="0.2">
      <c r="A20" s="8">
        <v>2317</v>
      </c>
      <c r="B20" s="9" t="s">
        <v>68</v>
      </c>
      <c r="C20" s="10">
        <v>43269</v>
      </c>
      <c r="D20" s="11">
        <v>77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105</v>
      </c>
      <c r="J20" s="12" t="s">
        <v>106</v>
      </c>
      <c r="K20" s="13" t="s">
        <v>39</v>
      </c>
      <c r="L20" s="11" t="str">
        <f>"000035"</f>
        <v>000035</v>
      </c>
      <c r="M20" s="10">
        <v>43238</v>
      </c>
      <c r="N20" s="11" t="str">
        <f>"000028"</f>
        <v>000028</v>
      </c>
      <c r="O20" s="10">
        <v>43238</v>
      </c>
      <c r="P20" s="11" t="str">
        <f>"000033"</f>
        <v>000033</v>
      </c>
      <c r="Q20" s="10">
        <v>43238</v>
      </c>
      <c r="R20" s="11">
        <v>18</v>
      </c>
      <c r="S20" s="11" t="str">
        <f>"002245"</f>
        <v>002245</v>
      </c>
      <c r="T20" s="10">
        <v>43257</v>
      </c>
      <c r="U20" s="14">
        <v>19.999649999999999</v>
      </c>
      <c r="V20" s="14">
        <v>2.2486999999999999</v>
      </c>
      <c r="W20" s="14">
        <v>17.75095</v>
      </c>
      <c r="X20" s="11">
        <v>93</v>
      </c>
      <c r="Y20" s="10">
        <v>43269</v>
      </c>
      <c r="Z20" s="11">
        <v>8023330521</v>
      </c>
      <c r="AA20" s="12" t="s">
        <v>78</v>
      </c>
      <c r="AB20" s="11" t="s">
        <v>90</v>
      </c>
      <c r="AC20" s="12" t="s">
        <v>91</v>
      </c>
      <c r="AD20" s="11" t="s">
        <v>43</v>
      </c>
      <c r="AE20" s="12" t="s">
        <v>44</v>
      </c>
      <c r="AF20" s="14">
        <v>0.19999649999999999</v>
      </c>
      <c r="AG20" s="11" t="s">
        <v>92</v>
      </c>
    </row>
    <row r="21" spans="1:33" x14ac:dyDescent="0.2">
      <c r="A21" s="8">
        <v>2318</v>
      </c>
      <c r="B21" s="9" t="s">
        <v>68</v>
      </c>
      <c r="C21" s="10">
        <v>43269</v>
      </c>
      <c r="D21" s="11">
        <v>77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107</v>
      </c>
      <c r="J21" s="12" t="s">
        <v>108</v>
      </c>
      <c r="K21" s="13" t="s">
        <v>39</v>
      </c>
      <c r="L21" s="11" t="str">
        <f>"000036"</f>
        <v>000036</v>
      </c>
      <c r="M21" s="10">
        <v>43238</v>
      </c>
      <c r="N21" s="11" t="str">
        <f>"000029"</f>
        <v>000029</v>
      </c>
      <c r="O21" s="10">
        <v>43238</v>
      </c>
      <c r="P21" s="11" t="str">
        <f>"000034"</f>
        <v>000034</v>
      </c>
      <c r="Q21" s="10">
        <v>43238</v>
      </c>
      <c r="R21" s="11">
        <v>18</v>
      </c>
      <c r="S21" s="11" t="str">
        <f>"002247"</f>
        <v>002247</v>
      </c>
      <c r="T21" s="10">
        <v>43257</v>
      </c>
      <c r="U21" s="14">
        <v>19.96454</v>
      </c>
      <c r="V21" s="14">
        <v>2.2443399999999998</v>
      </c>
      <c r="W21" s="14">
        <v>17.720199999999998</v>
      </c>
      <c r="X21" s="11">
        <v>93</v>
      </c>
      <c r="Y21" s="10">
        <v>43269</v>
      </c>
      <c r="Z21" s="11">
        <v>8023330521</v>
      </c>
      <c r="AA21" s="12" t="s">
        <v>78</v>
      </c>
      <c r="AB21" s="11" t="s">
        <v>90</v>
      </c>
      <c r="AC21" s="12" t="s">
        <v>91</v>
      </c>
      <c r="AD21" s="11" t="s">
        <v>43</v>
      </c>
      <c r="AE21" s="12" t="s">
        <v>44</v>
      </c>
      <c r="AF21" s="14">
        <v>0.1996454</v>
      </c>
      <c r="AG21" s="11" t="s">
        <v>92</v>
      </c>
    </row>
    <row r="22" spans="1:33" x14ac:dyDescent="0.2">
      <c r="A22" s="8">
        <v>2319</v>
      </c>
      <c r="B22" s="9" t="s">
        <v>68</v>
      </c>
      <c r="C22" s="10">
        <v>43269</v>
      </c>
      <c r="D22" s="11">
        <v>77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109</v>
      </c>
      <c r="J22" s="12" t="s">
        <v>110</v>
      </c>
      <c r="K22" s="13" t="s">
        <v>39</v>
      </c>
      <c r="L22" s="11" t="str">
        <f>"000031"</f>
        <v>000031</v>
      </c>
      <c r="M22" s="10">
        <v>43238</v>
      </c>
      <c r="N22" s="11" t="str">
        <f>"000024"</f>
        <v>000024</v>
      </c>
      <c r="O22" s="10">
        <v>43238</v>
      </c>
      <c r="P22" s="11" t="str">
        <f>"000035"</f>
        <v>000035</v>
      </c>
      <c r="Q22" s="10">
        <v>43238</v>
      </c>
      <c r="R22" s="11">
        <v>18</v>
      </c>
      <c r="S22" s="11" t="str">
        <f>"002248"</f>
        <v>002248</v>
      </c>
      <c r="T22" s="10">
        <v>43257</v>
      </c>
      <c r="U22" s="14">
        <v>19.992229999999999</v>
      </c>
      <c r="V22" s="14">
        <v>2.1672899999999999</v>
      </c>
      <c r="W22" s="14">
        <v>17.824940000000002</v>
      </c>
      <c r="X22" s="11">
        <v>93</v>
      </c>
      <c r="Y22" s="10">
        <v>43269</v>
      </c>
      <c r="Z22" s="11">
        <v>8023330521</v>
      </c>
      <c r="AA22" s="12" t="s">
        <v>78</v>
      </c>
      <c r="AB22" s="11" t="s">
        <v>90</v>
      </c>
      <c r="AC22" s="12" t="s">
        <v>91</v>
      </c>
      <c r="AD22" s="11" t="s">
        <v>43</v>
      </c>
      <c r="AE22" s="12" t="s">
        <v>44</v>
      </c>
      <c r="AF22" s="14">
        <v>0.1999223</v>
      </c>
      <c r="AG22" s="11" t="s">
        <v>92</v>
      </c>
    </row>
    <row r="23" spans="1:33" x14ac:dyDescent="0.2">
      <c r="A23" s="8">
        <v>3064</v>
      </c>
      <c r="B23" s="9" t="s">
        <v>111</v>
      </c>
      <c r="C23" s="10">
        <v>43287</v>
      </c>
      <c r="D23" s="11">
        <v>77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112</v>
      </c>
      <c r="J23" s="12" t="s">
        <v>113</v>
      </c>
      <c r="K23" s="13" t="s">
        <v>39</v>
      </c>
      <c r="L23" s="11" t="str">
        <f>"000.66"</f>
        <v>000.66</v>
      </c>
      <c r="M23" s="10">
        <v>42665</v>
      </c>
      <c r="N23" s="11" t="str">
        <f>"000176"</f>
        <v>000176</v>
      </c>
      <c r="O23" s="10">
        <v>42699</v>
      </c>
      <c r="P23" s="11" t="str">
        <f>"000431"</f>
        <v>000431</v>
      </c>
      <c r="Q23" s="10">
        <v>42699</v>
      </c>
      <c r="R23" s="11">
        <v>13</v>
      </c>
      <c r="S23" s="11" t="str">
        <f>"003238"</f>
        <v>003238</v>
      </c>
      <c r="T23" s="10">
        <v>43283</v>
      </c>
      <c r="U23" s="14">
        <v>6.0249699999999997</v>
      </c>
      <c r="V23" s="14">
        <v>0.76761000000000001</v>
      </c>
      <c r="W23" s="14">
        <v>5.2573600000000003</v>
      </c>
      <c r="X23" s="11">
        <v>113</v>
      </c>
      <c r="Y23" s="10">
        <v>43287</v>
      </c>
      <c r="Z23" s="11">
        <v>9448768590</v>
      </c>
      <c r="AA23" s="12" t="s">
        <v>114</v>
      </c>
      <c r="AB23" s="11" t="s">
        <v>41</v>
      </c>
      <c r="AC23" s="12" t="s">
        <v>42</v>
      </c>
      <c r="AD23" s="11" t="s">
        <v>43</v>
      </c>
      <c r="AE23" s="12" t="s">
        <v>44</v>
      </c>
      <c r="AF23" s="14">
        <v>6.0249699999999996E-2</v>
      </c>
      <c r="AG23" s="11" t="s">
        <v>45</v>
      </c>
    </row>
    <row r="24" spans="1:33" x14ac:dyDescent="0.2">
      <c r="A24" s="8">
        <v>3738</v>
      </c>
      <c r="B24" s="9" t="s">
        <v>111</v>
      </c>
      <c r="C24" s="10">
        <v>43301</v>
      </c>
      <c r="D24" s="11">
        <v>77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115</v>
      </c>
      <c r="J24" s="12" t="s">
        <v>116</v>
      </c>
      <c r="K24" s="13" t="s">
        <v>54</v>
      </c>
      <c r="L24" s="11" t="str">
        <f>"000011"</f>
        <v>000011</v>
      </c>
      <c r="M24" s="10">
        <v>42933</v>
      </c>
      <c r="N24" s="11" t="str">
        <f>"000117"</f>
        <v>000117</v>
      </c>
      <c r="O24" s="10">
        <v>43175</v>
      </c>
      <c r="P24" s="11" t="str">
        <f>"000143"</f>
        <v>000143</v>
      </c>
      <c r="Q24" s="10">
        <v>43175</v>
      </c>
      <c r="R24" s="11">
        <v>16</v>
      </c>
      <c r="S24" s="11" t="str">
        <f>"004045"</f>
        <v>004045</v>
      </c>
      <c r="T24" s="10">
        <v>43301</v>
      </c>
      <c r="U24" s="14">
        <v>8.74254</v>
      </c>
      <c r="V24" s="14">
        <v>0.44588</v>
      </c>
      <c r="W24" s="14">
        <v>8.2966599999999993</v>
      </c>
      <c r="X24" s="11">
        <v>134</v>
      </c>
      <c r="Y24" s="10">
        <v>43301</v>
      </c>
      <c r="Z24" s="11">
        <v>9886979350</v>
      </c>
      <c r="AA24" s="12" t="s">
        <v>117</v>
      </c>
      <c r="AB24" s="11" t="s">
        <v>118</v>
      </c>
      <c r="AC24" s="12" t="s">
        <v>119</v>
      </c>
      <c r="AD24" s="11" t="s">
        <v>63</v>
      </c>
      <c r="AE24" s="12" t="s">
        <v>64</v>
      </c>
      <c r="AF24" s="14">
        <v>8.74254E-2</v>
      </c>
      <c r="AG24" s="11" t="s">
        <v>45</v>
      </c>
    </row>
    <row r="25" spans="1:33" x14ac:dyDescent="0.2">
      <c r="A25" s="8">
        <v>4104</v>
      </c>
      <c r="B25" s="9" t="s">
        <v>111</v>
      </c>
      <c r="C25" s="10">
        <v>43308</v>
      </c>
      <c r="D25" s="11">
        <v>77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120</v>
      </c>
      <c r="J25" s="12" t="s">
        <v>121</v>
      </c>
      <c r="K25" s="13" t="s">
        <v>48</v>
      </c>
      <c r="L25" s="11" t="str">
        <f>"000092"</f>
        <v>000092</v>
      </c>
      <c r="M25" s="10">
        <v>42889</v>
      </c>
      <c r="N25" s="11" t="str">
        <f>"000005"</f>
        <v>000005</v>
      </c>
      <c r="O25" s="10">
        <v>43196</v>
      </c>
      <c r="P25" s="11" t="str">
        <f>"000005"</f>
        <v>000005</v>
      </c>
      <c r="Q25" s="10">
        <v>43196</v>
      </c>
      <c r="R25" s="11">
        <v>16</v>
      </c>
      <c r="S25" s="11" t="str">
        <f>"004385"</f>
        <v>004385</v>
      </c>
      <c r="T25" s="10">
        <v>43306</v>
      </c>
      <c r="U25" s="14">
        <v>2.5182699999999998</v>
      </c>
      <c r="V25" s="14">
        <v>0.25434000000000001</v>
      </c>
      <c r="W25" s="14">
        <v>2.2639300000000002</v>
      </c>
      <c r="X25" s="11">
        <v>146</v>
      </c>
      <c r="Y25" s="10">
        <v>43308</v>
      </c>
      <c r="Z25" s="11">
        <v>8711939687</v>
      </c>
      <c r="AA25" s="12" t="s">
        <v>122</v>
      </c>
      <c r="AB25" s="11" t="s">
        <v>123</v>
      </c>
      <c r="AC25" s="12" t="s">
        <v>124</v>
      </c>
      <c r="AD25" s="11" t="s">
        <v>63</v>
      </c>
      <c r="AE25" s="12" t="s">
        <v>64</v>
      </c>
      <c r="AF25" s="14">
        <v>2.5182699999999999E-2</v>
      </c>
      <c r="AG25" s="11" t="s">
        <v>125</v>
      </c>
    </row>
    <row r="26" spans="1:33" x14ac:dyDescent="0.2">
      <c r="A26" s="8">
        <v>4810</v>
      </c>
      <c r="B26" s="9" t="s">
        <v>126</v>
      </c>
      <c r="C26" s="10">
        <v>43326</v>
      </c>
      <c r="D26" s="11">
        <v>77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127</v>
      </c>
      <c r="J26" s="12" t="s">
        <v>128</v>
      </c>
      <c r="K26" s="13" t="s">
        <v>71</v>
      </c>
      <c r="L26" s="11" t="str">
        <f>"000006"</f>
        <v>000006</v>
      </c>
      <c r="M26" s="10">
        <v>43039</v>
      </c>
      <c r="N26" s="11" t="str">
        <f>"000006"</f>
        <v>000006</v>
      </c>
      <c r="O26" s="10">
        <v>43039</v>
      </c>
      <c r="P26" s="11" t="str">
        <f>"000008"</f>
        <v>000008</v>
      </c>
      <c r="Q26" s="10">
        <v>43039</v>
      </c>
      <c r="R26" s="11">
        <v>17</v>
      </c>
      <c r="S26" s="11" t="str">
        <f>"005038"</f>
        <v>005038</v>
      </c>
      <c r="T26" s="10">
        <v>43321</v>
      </c>
      <c r="U26" s="14">
        <v>44.409979999999997</v>
      </c>
      <c r="V26" s="14">
        <v>6.5313400000000001</v>
      </c>
      <c r="W26" s="14">
        <v>37.878639999999997</v>
      </c>
      <c r="X26" s="11">
        <v>171</v>
      </c>
      <c r="Y26" s="10">
        <v>43326</v>
      </c>
      <c r="Z26" s="11">
        <v>9483161122</v>
      </c>
      <c r="AA26" s="12" t="s">
        <v>72</v>
      </c>
      <c r="AB26" s="11" t="s">
        <v>129</v>
      </c>
      <c r="AC26" s="12" t="s">
        <v>130</v>
      </c>
      <c r="AD26" s="11" t="s">
        <v>43</v>
      </c>
      <c r="AE26" s="12" t="s">
        <v>44</v>
      </c>
      <c r="AF26" s="14">
        <v>0.44409979999999999</v>
      </c>
      <c r="AG26" s="11" t="s">
        <v>45</v>
      </c>
    </row>
    <row r="27" spans="1:33" x14ac:dyDescent="0.2">
      <c r="A27" s="8">
        <v>4811</v>
      </c>
      <c r="B27" s="9" t="s">
        <v>126</v>
      </c>
      <c r="C27" s="10">
        <v>43326</v>
      </c>
      <c r="D27" s="11">
        <v>77</v>
      </c>
      <c r="E27" s="12" t="s">
        <v>34</v>
      </c>
      <c r="F27" s="12" t="s">
        <v>35</v>
      </c>
      <c r="G27" s="12" t="s">
        <v>35</v>
      </c>
      <c r="H27" s="12" t="s">
        <v>36</v>
      </c>
      <c r="I27" s="11" t="s">
        <v>131</v>
      </c>
      <c r="J27" s="12" t="s">
        <v>132</v>
      </c>
      <c r="K27" s="13" t="s">
        <v>71</v>
      </c>
      <c r="L27" s="11" t="str">
        <f>"000007"</f>
        <v>000007</v>
      </c>
      <c r="M27" s="10">
        <v>43039</v>
      </c>
      <c r="N27" s="11" t="str">
        <f>"000007"</f>
        <v>000007</v>
      </c>
      <c r="O27" s="10">
        <v>43039</v>
      </c>
      <c r="P27" s="11" t="str">
        <f>"000009"</f>
        <v>000009</v>
      </c>
      <c r="Q27" s="10">
        <v>43039</v>
      </c>
      <c r="R27" s="11">
        <v>17</v>
      </c>
      <c r="S27" s="11" t="str">
        <f>"005039"</f>
        <v>005039</v>
      </c>
      <c r="T27" s="10">
        <v>43321</v>
      </c>
      <c r="U27" s="14">
        <v>14.99649</v>
      </c>
      <c r="V27" s="14">
        <v>1.96454</v>
      </c>
      <c r="W27" s="14">
        <v>13.03195</v>
      </c>
      <c r="X27" s="11">
        <v>171</v>
      </c>
      <c r="Y27" s="10">
        <v>43326</v>
      </c>
      <c r="Z27" s="11">
        <v>9483161122</v>
      </c>
      <c r="AA27" s="12" t="s">
        <v>72</v>
      </c>
      <c r="AB27" s="11" t="s">
        <v>83</v>
      </c>
      <c r="AC27" s="12" t="s">
        <v>84</v>
      </c>
      <c r="AD27" s="11" t="s">
        <v>43</v>
      </c>
      <c r="AE27" s="12" t="s">
        <v>44</v>
      </c>
      <c r="AF27" s="14">
        <v>0.14996489999999998</v>
      </c>
      <c r="AG27" s="11" t="s">
        <v>45</v>
      </c>
    </row>
    <row r="28" spans="1:33" x14ac:dyDescent="0.2">
      <c r="A28" s="8">
        <v>5250</v>
      </c>
      <c r="B28" s="9" t="s">
        <v>133</v>
      </c>
      <c r="C28" s="10">
        <v>43346</v>
      </c>
      <c r="D28" s="11">
        <v>77</v>
      </c>
      <c r="E28" s="12" t="s">
        <v>34</v>
      </c>
      <c r="F28" s="12" t="s">
        <v>35</v>
      </c>
      <c r="G28" s="12" t="s">
        <v>35</v>
      </c>
      <c r="H28" s="12" t="s">
        <v>36</v>
      </c>
      <c r="I28" s="11" t="s">
        <v>134</v>
      </c>
      <c r="J28" s="12" t="s">
        <v>135</v>
      </c>
      <c r="K28" s="13" t="s">
        <v>39</v>
      </c>
      <c r="L28" s="11" t="str">
        <f>"000137"</f>
        <v>000137</v>
      </c>
      <c r="M28" s="10">
        <v>42713</v>
      </c>
      <c r="N28" s="11" t="str">
        <f>"000243"</f>
        <v>000243</v>
      </c>
      <c r="O28" s="10">
        <v>42916</v>
      </c>
      <c r="P28" s="11" t="str">
        <f>"000578"</f>
        <v>000578</v>
      </c>
      <c r="Q28" s="10">
        <v>42825</v>
      </c>
      <c r="R28" s="11">
        <v>16</v>
      </c>
      <c r="S28" s="11" t="str">
        <f>"005308"</f>
        <v>005308</v>
      </c>
      <c r="T28" s="10">
        <v>43333</v>
      </c>
      <c r="U28" s="14">
        <v>4.12974</v>
      </c>
      <c r="V28" s="14">
        <v>0.49464000000000002</v>
      </c>
      <c r="W28" s="14">
        <v>3.6351</v>
      </c>
      <c r="X28" s="11">
        <v>193</v>
      </c>
      <c r="Y28" s="10">
        <v>43346</v>
      </c>
      <c r="Z28" s="11">
        <v>9880606891</v>
      </c>
      <c r="AA28" s="12" t="s">
        <v>136</v>
      </c>
      <c r="AB28" s="11" t="s">
        <v>41</v>
      </c>
      <c r="AC28" s="12" t="s">
        <v>42</v>
      </c>
      <c r="AD28" s="11" t="s">
        <v>43</v>
      </c>
      <c r="AE28" s="12" t="s">
        <v>44</v>
      </c>
      <c r="AF28" s="14">
        <f t="shared" ref="AF28:AF55" si="0">U28/100</f>
        <v>4.1297399999999998E-2</v>
      </c>
      <c r="AG28" s="11" t="s">
        <v>45</v>
      </c>
    </row>
    <row r="29" spans="1:33" x14ac:dyDescent="0.2">
      <c r="A29" s="8">
        <v>5465</v>
      </c>
      <c r="B29" s="9" t="s">
        <v>133</v>
      </c>
      <c r="C29" s="10">
        <v>43357</v>
      </c>
      <c r="D29" s="11">
        <v>77</v>
      </c>
      <c r="E29" s="12" t="s">
        <v>34</v>
      </c>
      <c r="F29" s="12" t="s">
        <v>35</v>
      </c>
      <c r="G29" s="12" t="s">
        <v>35</v>
      </c>
      <c r="H29" s="12" t="s">
        <v>36</v>
      </c>
      <c r="I29" s="11" t="s">
        <v>137</v>
      </c>
      <c r="J29" s="12" t="s">
        <v>138</v>
      </c>
      <c r="K29" s="13" t="s">
        <v>48</v>
      </c>
      <c r="L29" s="11" t="str">
        <f>"000193"</f>
        <v>000193</v>
      </c>
      <c r="M29" s="10">
        <v>42843</v>
      </c>
      <c r="N29" s="11" t="str">
        <f>"000046"</f>
        <v>000046</v>
      </c>
      <c r="O29" s="10">
        <v>42916</v>
      </c>
      <c r="P29" s="11" t="str">
        <f>"000284"</f>
        <v>000284</v>
      </c>
      <c r="Q29" s="10">
        <v>42934</v>
      </c>
      <c r="R29" s="11">
        <v>17</v>
      </c>
      <c r="S29" s="11" t="str">
        <f>"005700"</f>
        <v>005700</v>
      </c>
      <c r="T29" s="10">
        <v>43350</v>
      </c>
      <c r="U29" s="14">
        <v>4.7976400000000003</v>
      </c>
      <c r="V29" s="14">
        <v>0.36368</v>
      </c>
      <c r="W29" s="14">
        <v>4.4339599999999999</v>
      </c>
      <c r="X29" s="11">
        <v>204</v>
      </c>
      <c r="Y29" s="10">
        <v>43357</v>
      </c>
      <c r="Z29" s="11">
        <v>9738426262</v>
      </c>
      <c r="AA29" s="12" t="s">
        <v>87</v>
      </c>
      <c r="AB29" s="11" t="s">
        <v>41</v>
      </c>
      <c r="AC29" s="12" t="s">
        <v>42</v>
      </c>
      <c r="AD29" s="11" t="s">
        <v>43</v>
      </c>
      <c r="AE29" s="12" t="s">
        <v>44</v>
      </c>
      <c r="AF29" s="14">
        <f t="shared" si="0"/>
        <v>4.7976400000000002E-2</v>
      </c>
      <c r="AG29" s="11" t="s">
        <v>45</v>
      </c>
    </row>
    <row r="30" spans="1:33" x14ac:dyDescent="0.2">
      <c r="A30" s="8">
        <v>6095</v>
      </c>
      <c r="B30" s="9" t="s">
        <v>139</v>
      </c>
      <c r="C30" s="10">
        <v>43385</v>
      </c>
      <c r="D30" s="11">
        <v>77</v>
      </c>
      <c r="E30" s="12" t="s">
        <v>34</v>
      </c>
      <c r="F30" s="12" t="s">
        <v>35</v>
      </c>
      <c r="G30" s="12" t="s">
        <v>35</v>
      </c>
      <c r="H30" s="12" t="s">
        <v>36</v>
      </c>
      <c r="I30" s="11" t="s">
        <v>140</v>
      </c>
      <c r="J30" s="12" t="s">
        <v>141</v>
      </c>
      <c r="K30" s="13" t="s">
        <v>142</v>
      </c>
      <c r="L30" s="11" t="str">
        <f>"000017"</f>
        <v>000017</v>
      </c>
      <c r="M30" s="10">
        <v>43161</v>
      </c>
      <c r="N30" s="11" t="str">
        <f>"000038"</f>
        <v>000038</v>
      </c>
      <c r="O30" s="10">
        <v>43360</v>
      </c>
      <c r="P30" s="11" t="str">
        <f>"000152"</f>
        <v>000152</v>
      </c>
      <c r="Q30" s="10">
        <v>43361</v>
      </c>
      <c r="R30" s="11">
        <v>16</v>
      </c>
      <c r="S30" s="11" t="str">
        <f>"008469"</f>
        <v>008469</v>
      </c>
      <c r="T30" s="10">
        <v>43467</v>
      </c>
      <c r="U30" s="14">
        <v>65.507999999999996</v>
      </c>
      <c r="V30" s="14">
        <v>2.27</v>
      </c>
      <c r="W30" s="14">
        <v>63.238</v>
      </c>
      <c r="X30" s="11">
        <v>228</v>
      </c>
      <c r="Y30" s="10">
        <v>43385</v>
      </c>
      <c r="Z30" s="11">
        <v>9845030616</v>
      </c>
      <c r="AA30" s="12" t="s">
        <v>143</v>
      </c>
      <c r="AB30" s="11" t="s">
        <v>144</v>
      </c>
      <c r="AC30" s="12" t="s">
        <v>145</v>
      </c>
      <c r="AD30" s="11" t="s">
        <v>146</v>
      </c>
      <c r="AE30" s="12" t="s">
        <v>147</v>
      </c>
      <c r="AF30" s="14">
        <f t="shared" si="0"/>
        <v>0.65508</v>
      </c>
      <c r="AG30" s="11" t="s">
        <v>125</v>
      </c>
    </row>
    <row r="31" spans="1:33" x14ac:dyDescent="0.2">
      <c r="A31" s="8">
        <v>6096</v>
      </c>
      <c r="B31" s="9" t="s">
        <v>139</v>
      </c>
      <c r="C31" s="10">
        <v>43385</v>
      </c>
      <c r="D31" s="11">
        <v>77</v>
      </c>
      <c r="E31" s="12" t="s">
        <v>34</v>
      </c>
      <c r="F31" s="12" t="s">
        <v>35</v>
      </c>
      <c r="G31" s="12" t="s">
        <v>35</v>
      </c>
      <c r="H31" s="12" t="s">
        <v>36</v>
      </c>
      <c r="I31" s="11" t="s">
        <v>140</v>
      </c>
      <c r="J31" s="12" t="s">
        <v>141</v>
      </c>
      <c r="K31" s="13" t="s">
        <v>142</v>
      </c>
      <c r="L31" s="11" t="str">
        <f>"000017"</f>
        <v>000017</v>
      </c>
      <c r="M31" s="10">
        <v>43161</v>
      </c>
      <c r="N31" s="11" t="str">
        <f>"000038"</f>
        <v>000038</v>
      </c>
      <c r="O31" s="10">
        <v>43360</v>
      </c>
      <c r="P31" s="11" t="str">
        <f>"000152"</f>
        <v>000152</v>
      </c>
      <c r="Q31" s="10">
        <v>43361</v>
      </c>
      <c r="R31" s="11">
        <v>16</v>
      </c>
      <c r="S31" s="11" t="str">
        <f>"008469"</f>
        <v>008469</v>
      </c>
      <c r="T31" s="10">
        <v>43467</v>
      </c>
      <c r="U31" s="14">
        <v>65.507999999999996</v>
      </c>
      <c r="V31" s="14">
        <v>2.27</v>
      </c>
      <c r="W31" s="14">
        <v>63.238</v>
      </c>
      <c r="X31" s="11">
        <v>228</v>
      </c>
      <c r="Y31" s="10">
        <v>43385</v>
      </c>
      <c r="Z31" s="11">
        <v>9845030616</v>
      </c>
      <c r="AA31" s="12" t="s">
        <v>143</v>
      </c>
      <c r="AB31" s="11" t="s">
        <v>144</v>
      </c>
      <c r="AC31" s="12" t="s">
        <v>145</v>
      </c>
      <c r="AD31" s="11" t="s">
        <v>146</v>
      </c>
      <c r="AE31" s="12" t="s">
        <v>147</v>
      </c>
      <c r="AF31" s="14">
        <f t="shared" si="0"/>
        <v>0.65508</v>
      </c>
      <c r="AG31" s="11" t="s">
        <v>125</v>
      </c>
    </row>
    <row r="32" spans="1:33" x14ac:dyDescent="0.2">
      <c r="A32" s="8">
        <v>6097</v>
      </c>
      <c r="B32" s="9" t="s">
        <v>139</v>
      </c>
      <c r="C32" s="10">
        <v>43385</v>
      </c>
      <c r="D32" s="11">
        <v>77</v>
      </c>
      <c r="E32" s="12" t="s">
        <v>34</v>
      </c>
      <c r="F32" s="12" t="s">
        <v>35</v>
      </c>
      <c r="G32" s="12" t="s">
        <v>35</v>
      </c>
      <c r="H32" s="12" t="s">
        <v>36</v>
      </c>
      <c r="I32" s="11" t="s">
        <v>148</v>
      </c>
      <c r="J32" s="12" t="s">
        <v>149</v>
      </c>
      <c r="K32" s="15" t="s">
        <v>150</v>
      </c>
      <c r="L32" s="11" t="str">
        <f>"000104"</f>
        <v>000104</v>
      </c>
      <c r="M32" s="10">
        <v>41949</v>
      </c>
      <c r="N32" s="11" t="str">
        <f>"000203"</f>
        <v>000203</v>
      </c>
      <c r="O32" s="10">
        <v>42303</v>
      </c>
      <c r="P32" s="11" t="str">
        <f>"000340"</f>
        <v>000340</v>
      </c>
      <c r="Q32" s="10">
        <v>42306</v>
      </c>
      <c r="R32" s="11">
        <v>13</v>
      </c>
      <c r="S32" s="11" t="str">
        <f>"006081"</f>
        <v>006081</v>
      </c>
      <c r="T32" s="10">
        <v>43374</v>
      </c>
      <c r="U32" s="14">
        <v>2.6067200000000001</v>
      </c>
      <c r="V32" s="14">
        <v>0.34366000000000002</v>
      </c>
      <c r="W32" s="14">
        <v>2.2630599999999998</v>
      </c>
      <c r="X32" s="11">
        <v>231</v>
      </c>
      <c r="Y32" s="10">
        <v>43385</v>
      </c>
      <c r="Z32" s="11">
        <v>1234567890</v>
      </c>
      <c r="AA32" s="12" t="s">
        <v>151</v>
      </c>
      <c r="AB32" s="11" t="s">
        <v>41</v>
      </c>
      <c r="AC32" s="12" t="s">
        <v>42</v>
      </c>
      <c r="AD32" s="11" t="s">
        <v>43</v>
      </c>
      <c r="AE32" s="12" t="s">
        <v>152</v>
      </c>
      <c r="AF32" s="14">
        <f t="shared" si="0"/>
        <v>2.6067200000000002E-2</v>
      </c>
      <c r="AG32" s="11" t="s">
        <v>45</v>
      </c>
    </row>
    <row r="33" spans="1:33" x14ac:dyDescent="0.2">
      <c r="A33" s="8">
        <v>6749</v>
      </c>
      <c r="B33" s="9" t="s">
        <v>139</v>
      </c>
      <c r="C33" s="10">
        <v>43390</v>
      </c>
      <c r="D33" s="11">
        <v>77</v>
      </c>
      <c r="E33" s="12" t="s">
        <v>34</v>
      </c>
      <c r="F33" s="12" t="s">
        <v>35</v>
      </c>
      <c r="G33" s="12" t="s">
        <v>35</v>
      </c>
      <c r="H33" s="12" t="s">
        <v>36</v>
      </c>
      <c r="I33" s="11" t="s">
        <v>153</v>
      </c>
      <c r="J33" s="12" t="s">
        <v>154</v>
      </c>
      <c r="K33" s="13" t="s">
        <v>54</v>
      </c>
      <c r="L33" s="11" t="str">
        <f>"000013"</f>
        <v>000013</v>
      </c>
      <c r="M33" s="10">
        <v>43308</v>
      </c>
      <c r="N33" s="11" t="str">
        <f>"000107"</f>
        <v>000107</v>
      </c>
      <c r="O33" s="10">
        <v>43372</v>
      </c>
      <c r="P33" s="11" t="str">
        <f>"000106"</f>
        <v>000106</v>
      </c>
      <c r="Q33" s="10">
        <v>43372</v>
      </c>
      <c r="R33" s="11">
        <v>18</v>
      </c>
      <c r="S33" s="11" t="str">
        <f>"006816"</f>
        <v>006816</v>
      </c>
      <c r="T33" s="10">
        <v>43389</v>
      </c>
      <c r="U33" s="14">
        <v>9.5387199999999996</v>
      </c>
      <c r="V33" s="14">
        <v>1.0111000000000001</v>
      </c>
      <c r="W33" s="14">
        <v>8.5276200000000006</v>
      </c>
      <c r="X33" s="11">
        <v>245</v>
      </c>
      <c r="Y33" s="10">
        <v>43390</v>
      </c>
      <c r="Z33" s="11">
        <v>9141395491</v>
      </c>
      <c r="AA33" s="12" t="s">
        <v>155</v>
      </c>
      <c r="AB33" s="11" t="s">
        <v>156</v>
      </c>
      <c r="AC33" s="12" t="s">
        <v>157</v>
      </c>
      <c r="AD33" s="11" t="s">
        <v>63</v>
      </c>
      <c r="AE33" s="12" t="s">
        <v>64</v>
      </c>
      <c r="AF33" s="14">
        <f t="shared" si="0"/>
        <v>9.5387199999999991E-2</v>
      </c>
      <c r="AG33" s="11" t="s">
        <v>92</v>
      </c>
    </row>
    <row r="34" spans="1:33" x14ac:dyDescent="0.2">
      <c r="A34" s="8">
        <v>7076</v>
      </c>
      <c r="B34" s="9" t="s">
        <v>139</v>
      </c>
      <c r="C34" s="10">
        <v>43404</v>
      </c>
      <c r="D34" s="11">
        <v>77</v>
      </c>
      <c r="E34" s="12" t="s">
        <v>34</v>
      </c>
      <c r="F34" s="12" t="s">
        <v>35</v>
      </c>
      <c r="G34" s="12" t="s">
        <v>35</v>
      </c>
      <c r="H34" s="12" t="s">
        <v>36</v>
      </c>
      <c r="I34" s="11" t="s">
        <v>158</v>
      </c>
      <c r="J34" s="12" t="s">
        <v>159</v>
      </c>
      <c r="K34" s="13" t="s">
        <v>48</v>
      </c>
      <c r="L34" s="11" t="str">
        <f>"000027"</f>
        <v>000027</v>
      </c>
      <c r="M34" s="10">
        <v>42903</v>
      </c>
      <c r="N34" s="11" t="str">
        <f>"000099"</f>
        <v>000099</v>
      </c>
      <c r="O34" s="10">
        <v>43369</v>
      </c>
      <c r="P34" s="11" t="str">
        <f>"000100"</f>
        <v>000100</v>
      </c>
      <c r="Q34" s="10">
        <v>43369</v>
      </c>
      <c r="R34" s="11">
        <v>17</v>
      </c>
      <c r="S34" s="11" t="str">
        <f>"007103"</f>
        <v>007103</v>
      </c>
      <c r="T34" s="10">
        <v>43402</v>
      </c>
      <c r="U34" s="14">
        <v>42.021720000000002</v>
      </c>
      <c r="V34" s="14">
        <v>3.1212</v>
      </c>
      <c r="W34" s="14">
        <v>38.90052</v>
      </c>
      <c r="X34" s="11">
        <v>258</v>
      </c>
      <c r="Y34" s="10">
        <v>43404</v>
      </c>
      <c r="Z34" s="11">
        <v>9844996867</v>
      </c>
      <c r="AA34" s="12" t="s">
        <v>160</v>
      </c>
      <c r="AB34" s="11" t="s">
        <v>161</v>
      </c>
      <c r="AC34" s="12" t="s">
        <v>162</v>
      </c>
      <c r="AD34" s="11" t="s">
        <v>163</v>
      </c>
      <c r="AE34" s="12" t="s">
        <v>164</v>
      </c>
      <c r="AF34" s="14">
        <f t="shared" si="0"/>
        <v>0.42021720000000001</v>
      </c>
      <c r="AG34" s="11" t="s">
        <v>125</v>
      </c>
    </row>
    <row r="35" spans="1:33" x14ac:dyDescent="0.2">
      <c r="A35" s="8">
        <v>7077</v>
      </c>
      <c r="B35" s="9" t="s">
        <v>139</v>
      </c>
      <c r="C35" s="10">
        <v>43404</v>
      </c>
      <c r="D35" s="11">
        <v>77</v>
      </c>
      <c r="E35" s="12" t="s">
        <v>34</v>
      </c>
      <c r="F35" s="12" t="s">
        <v>35</v>
      </c>
      <c r="G35" s="12" t="s">
        <v>35</v>
      </c>
      <c r="H35" s="12" t="s">
        <v>36</v>
      </c>
      <c r="I35" s="11" t="s">
        <v>165</v>
      </c>
      <c r="J35" s="12" t="s">
        <v>166</v>
      </c>
      <c r="K35" s="13" t="s">
        <v>48</v>
      </c>
      <c r="L35" s="11" t="str">
        <f>"000028"</f>
        <v>000028</v>
      </c>
      <c r="M35" s="10">
        <v>42903</v>
      </c>
      <c r="N35" s="11" t="str">
        <f>"000098"</f>
        <v>000098</v>
      </c>
      <c r="O35" s="10">
        <v>43369</v>
      </c>
      <c r="P35" s="11" t="str">
        <f>"000099"</f>
        <v>000099</v>
      </c>
      <c r="Q35" s="10">
        <v>43369</v>
      </c>
      <c r="R35" s="11">
        <v>17</v>
      </c>
      <c r="S35" s="11" t="str">
        <f>"007104"</f>
        <v>007104</v>
      </c>
      <c r="T35" s="10">
        <v>43402</v>
      </c>
      <c r="U35" s="14">
        <v>41.952489999999997</v>
      </c>
      <c r="V35" s="14">
        <v>3.0866199999999999</v>
      </c>
      <c r="W35" s="14">
        <v>38.865870000000001</v>
      </c>
      <c r="X35" s="11">
        <v>258</v>
      </c>
      <c r="Y35" s="10">
        <v>43404</v>
      </c>
      <c r="Z35" s="11">
        <v>9844996867</v>
      </c>
      <c r="AA35" s="12" t="s">
        <v>160</v>
      </c>
      <c r="AB35" s="11" t="s">
        <v>161</v>
      </c>
      <c r="AC35" s="12" t="s">
        <v>162</v>
      </c>
      <c r="AD35" s="11" t="s">
        <v>163</v>
      </c>
      <c r="AE35" s="12" t="s">
        <v>164</v>
      </c>
      <c r="AF35" s="14">
        <f t="shared" si="0"/>
        <v>0.41952489999999998</v>
      </c>
      <c r="AG35" s="11" t="s">
        <v>125</v>
      </c>
    </row>
    <row r="36" spans="1:33" x14ac:dyDescent="0.2">
      <c r="A36" s="8">
        <v>7078</v>
      </c>
      <c r="B36" s="9" t="s">
        <v>139</v>
      </c>
      <c r="C36" s="10">
        <v>43404</v>
      </c>
      <c r="D36" s="11">
        <v>77</v>
      </c>
      <c r="E36" s="12" t="s">
        <v>34</v>
      </c>
      <c r="F36" s="12" t="s">
        <v>35</v>
      </c>
      <c r="G36" s="12" t="s">
        <v>35</v>
      </c>
      <c r="H36" s="12" t="s">
        <v>36</v>
      </c>
      <c r="I36" s="11" t="s">
        <v>167</v>
      </c>
      <c r="J36" s="12" t="s">
        <v>168</v>
      </c>
      <c r="K36" s="13" t="s">
        <v>169</v>
      </c>
      <c r="L36" s="11" t="str">
        <f>"000040"</f>
        <v>000040</v>
      </c>
      <c r="M36" s="10">
        <v>43250</v>
      </c>
      <c r="N36" s="11" t="str">
        <f>"000031"</f>
        <v>000031</v>
      </c>
      <c r="O36" s="10">
        <v>43250</v>
      </c>
      <c r="P36" s="11" t="str">
        <f>"000039"</f>
        <v>000039</v>
      </c>
      <c r="Q36" s="10">
        <v>43250</v>
      </c>
      <c r="R36" s="11">
        <v>18</v>
      </c>
      <c r="S36" s="11" t="str">
        <f>"007043"</f>
        <v>007043</v>
      </c>
      <c r="T36" s="10">
        <v>43400</v>
      </c>
      <c r="U36" s="14">
        <v>19.996770000000001</v>
      </c>
      <c r="V36" s="14">
        <v>2.11964</v>
      </c>
      <c r="W36" s="14">
        <v>17.877130000000001</v>
      </c>
      <c r="X36" s="11">
        <v>260</v>
      </c>
      <c r="Y36" s="10">
        <v>43404</v>
      </c>
      <c r="Z36" s="11">
        <v>9483161122</v>
      </c>
      <c r="AA36" s="12" t="s">
        <v>72</v>
      </c>
      <c r="AB36" s="11" t="s">
        <v>144</v>
      </c>
      <c r="AC36" s="12" t="s">
        <v>145</v>
      </c>
      <c r="AD36" s="11" t="s">
        <v>43</v>
      </c>
      <c r="AE36" s="12" t="s">
        <v>152</v>
      </c>
      <c r="AF36" s="14">
        <f t="shared" si="0"/>
        <v>0.19996770000000003</v>
      </c>
      <c r="AG36" s="11" t="s">
        <v>92</v>
      </c>
    </row>
    <row r="37" spans="1:33" x14ac:dyDescent="0.2">
      <c r="A37" s="8">
        <v>7378</v>
      </c>
      <c r="B37" s="9" t="s">
        <v>170</v>
      </c>
      <c r="C37" s="10">
        <v>43427</v>
      </c>
      <c r="D37" s="11">
        <v>77</v>
      </c>
      <c r="E37" s="12" t="s">
        <v>34</v>
      </c>
      <c r="F37" s="12" t="s">
        <v>35</v>
      </c>
      <c r="G37" s="12" t="s">
        <v>35</v>
      </c>
      <c r="H37" s="12" t="s">
        <v>36</v>
      </c>
      <c r="I37" s="11" t="s">
        <v>171</v>
      </c>
      <c r="J37" s="12" t="s">
        <v>172</v>
      </c>
      <c r="K37" s="13" t="s">
        <v>48</v>
      </c>
      <c r="L37" s="11" t="str">
        <f>"000150"</f>
        <v>000150</v>
      </c>
      <c r="M37" s="10">
        <v>43393</v>
      </c>
      <c r="N37" s="11" t="str">
        <f>"000107"</f>
        <v>000107</v>
      </c>
      <c r="O37" s="10">
        <v>43393</v>
      </c>
      <c r="P37" s="11" t="str">
        <f>"000150"</f>
        <v>000150</v>
      </c>
      <c r="Q37" s="10">
        <v>43393</v>
      </c>
      <c r="R37" s="11">
        <v>18</v>
      </c>
      <c r="S37" s="11" t="str">
        <f>"007518"</f>
        <v>007518</v>
      </c>
      <c r="T37" s="10">
        <v>43426</v>
      </c>
      <c r="U37" s="14">
        <v>4.9973900000000002</v>
      </c>
      <c r="V37" s="14">
        <v>0.58221000000000001</v>
      </c>
      <c r="W37" s="14">
        <v>4.4151800000000003</v>
      </c>
      <c r="X37" s="11">
        <v>272</v>
      </c>
      <c r="Y37" s="10">
        <v>43427</v>
      </c>
      <c r="Z37" s="11">
        <v>9483161122</v>
      </c>
      <c r="AA37" s="12" t="s">
        <v>173</v>
      </c>
      <c r="AB37" s="11" t="s">
        <v>174</v>
      </c>
      <c r="AC37" s="12" t="s">
        <v>175</v>
      </c>
      <c r="AD37" s="11" t="s">
        <v>43</v>
      </c>
      <c r="AE37" s="12" t="s">
        <v>152</v>
      </c>
      <c r="AF37" s="14">
        <f t="shared" si="0"/>
        <v>4.9973900000000002E-2</v>
      </c>
      <c r="AG37" s="11" t="s">
        <v>92</v>
      </c>
    </row>
    <row r="38" spans="1:33" x14ac:dyDescent="0.2">
      <c r="A38" s="8">
        <v>7379</v>
      </c>
      <c r="B38" s="9" t="s">
        <v>170</v>
      </c>
      <c r="C38" s="10">
        <v>43427</v>
      </c>
      <c r="D38" s="11">
        <v>77</v>
      </c>
      <c r="E38" s="12" t="s">
        <v>34</v>
      </c>
      <c r="F38" s="12" t="s">
        <v>35</v>
      </c>
      <c r="G38" s="12" t="s">
        <v>35</v>
      </c>
      <c r="H38" s="12" t="s">
        <v>36</v>
      </c>
      <c r="I38" s="11" t="s">
        <v>176</v>
      </c>
      <c r="J38" s="12" t="s">
        <v>177</v>
      </c>
      <c r="K38" s="13" t="s">
        <v>59</v>
      </c>
      <c r="L38" s="11" t="str">
        <f>"000151"</f>
        <v>000151</v>
      </c>
      <c r="M38" s="10">
        <v>43393</v>
      </c>
      <c r="N38" s="11" t="str">
        <f>"000108"</f>
        <v>000108</v>
      </c>
      <c r="O38" s="10">
        <v>43393</v>
      </c>
      <c r="P38" s="11" t="str">
        <f>"000151"</f>
        <v>000151</v>
      </c>
      <c r="Q38" s="10">
        <v>43393</v>
      </c>
      <c r="R38" s="11">
        <v>18</v>
      </c>
      <c r="S38" s="11" t="str">
        <f>"007519"</f>
        <v>007519</v>
      </c>
      <c r="T38" s="10">
        <v>43426</v>
      </c>
      <c r="U38" s="14">
        <v>4.7113800000000001</v>
      </c>
      <c r="V38" s="14">
        <v>0.55674999999999997</v>
      </c>
      <c r="W38" s="14">
        <v>4.15463</v>
      </c>
      <c r="X38" s="11">
        <v>272</v>
      </c>
      <c r="Y38" s="10">
        <v>43427</v>
      </c>
      <c r="Z38" s="11">
        <v>9483161122</v>
      </c>
      <c r="AA38" s="12" t="s">
        <v>173</v>
      </c>
      <c r="AB38" s="11" t="s">
        <v>178</v>
      </c>
      <c r="AC38" s="12" t="s">
        <v>179</v>
      </c>
      <c r="AD38" s="11" t="s">
        <v>43</v>
      </c>
      <c r="AE38" s="12" t="s">
        <v>152</v>
      </c>
      <c r="AF38" s="14">
        <f t="shared" si="0"/>
        <v>4.7113800000000004E-2</v>
      </c>
      <c r="AG38" s="11" t="s">
        <v>92</v>
      </c>
    </row>
    <row r="39" spans="1:33" x14ac:dyDescent="0.2">
      <c r="A39" s="8">
        <v>7380</v>
      </c>
      <c r="B39" s="9" t="s">
        <v>170</v>
      </c>
      <c r="C39" s="10">
        <v>43427</v>
      </c>
      <c r="D39" s="11">
        <v>77</v>
      </c>
      <c r="E39" s="12" t="s">
        <v>34</v>
      </c>
      <c r="F39" s="12" t="s">
        <v>35</v>
      </c>
      <c r="G39" s="12" t="s">
        <v>35</v>
      </c>
      <c r="H39" s="12" t="s">
        <v>36</v>
      </c>
      <c r="I39" s="11" t="s">
        <v>180</v>
      </c>
      <c r="J39" s="12" t="s">
        <v>181</v>
      </c>
      <c r="K39" s="15" t="s">
        <v>150</v>
      </c>
      <c r="L39" s="11" t="str">
        <f>"000152"</f>
        <v>000152</v>
      </c>
      <c r="M39" s="10">
        <v>43393</v>
      </c>
      <c r="N39" s="11" t="str">
        <f>"000109"</f>
        <v>000109</v>
      </c>
      <c r="O39" s="10">
        <v>43393</v>
      </c>
      <c r="P39" s="11" t="str">
        <f>"000152"</f>
        <v>000152</v>
      </c>
      <c r="Q39" s="10">
        <v>43393</v>
      </c>
      <c r="R39" s="11">
        <v>18</v>
      </c>
      <c r="S39" s="11" t="str">
        <f>"007520"</f>
        <v>007520</v>
      </c>
      <c r="T39" s="10">
        <v>43426</v>
      </c>
      <c r="U39" s="14">
        <v>4.9985799999999996</v>
      </c>
      <c r="V39" s="14">
        <v>0.58384000000000003</v>
      </c>
      <c r="W39" s="14">
        <v>4.4147400000000001</v>
      </c>
      <c r="X39" s="11">
        <v>272</v>
      </c>
      <c r="Y39" s="10">
        <v>43427</v>
      </c>
      <c r="Z39" s="11">
        <v>9483161122</v>
      </c>
      <c r="AA39" s="12" t="s">
        <v>173</v>
      </c>
      <c r="AB39" s="11" t="s">
        <v>182</v>
      </c>
      <c r="AC39" s="12" t="s">
        <v>183</v>
      </c>
      <c r="AD39" s="11" t="s">
        <v>43</v>
      </c>
      <c r="AE39" s="12" t="s">
        <v>152</v>
      </c>
      <c r="AF39" s="14">
        <f t="shared" si="0"/>
        <v>4.9985799999999997E-2</v>
      </c>
      <c r="AG39" s="11" t="s">
        <v>92</v>
      </c>
    </row>
    <row r="40" spans="1:33" x14ac:dyDescent="0.2">
      <c r="A40" s="8">
        <v>7733</v>
      </c>
      <c r="B40" s="9" t="s">
        <v>184</v>
      </c>
      <c r="C40" s="10">
        <v>43448</v>
      </c>
      <c r="D40" s="11">
        <v>77</v>
      </c>
      <c r="E40" s="12" t="s">
        <v>34</v>
      </c>
      <c r="F40" s="12" t="s">
        <v>35</v>
      </c>
      <c r="G40" s="12" t="s">
        <v>35</v>
      </c>
      <c r="H40" s="12" t="s">
        <v>36</v>
      </c>
      <c r="I40" s="11" t="s">
        <v>185</v>
      </c>
      <c r="J40" s="12" t="s">
        <v>186</v>
      </c>
      <c r="K40" s="13" t="s">
        <v>39</v>
      </c>
      <c r="L40" s="11" t="str">
        <f>"000154"</f>
        <v>000154</v>
      </c>
      <c r="M40" s="10">
        <v>43393</v>
      </c>
      <c r="N40" s="11" t="str">
        <f>"000111"</f>
        <v>000111</v>
      </c>
      <c r="O40" s="10">
        <v>43393</v>
      </c>
      <c r="P40" s="11" t="str">
        <f>"000154"</f>
        <v>000154</v>
      </c>
      <c r="Q40" s="10">
        <v>43393</v>
      </c>
      <c r="R40" s="11">
        <v>18</v>
      </c>
      <c r="S40" s="11" t="str">
        <f>"007963"</f>
        <v>007963</v>
      </c>
      <c r="T40" s="10">
        <v>43447</v>
      </c>
      <c r="U40" s="14">
        <v>14.95011</v>
      </c>
      <c r="V40" s="14">
        <v>1.7192000000000001</v>
      </c>
      <c r="W40" s="14">
        <v>13.23091</v>
      </c>
      <c r="X40" s="11">
        <v>290</v>
      </c>
      <c r="Y40" s="10">
        <v>43448</v>
      </c>
      <c r="Z40" s="11">
        <v>9483161122</v>
      </c>
      <c r="AA40" s="12" t="s">
        <v>173</v>
      </c>
      <c r="AB40" s="11" t="s">
        <v>187</v>
      </c>
      <c r="AC40" s="12" t="s">
        <v>188</v>
      </c>
      <c r="AD40" s="11" t="s">
        <v>43</v>
      </c>
      <c r="AE40" s="12" t="s">
        <v>152</v>
      </c>
      <c r="AF40" s="14">
        <f t="shared" si="0"/>
        <v>0.1495011</v>
      </c>
      <c r="AG40" s="11" t="s">
        <v>92</v>
      </c>
    </row>
    <row r="41" spans="1:33" x14ac:dyDescent="0.2">
      <c r="A41" s="8">
        <v>7734</v>
      </c>
      <c r="B41" s="9" t="s">
        <v>184</v>
      </c>
      <c r="C41" s="10">
        <v>43448</v>
      </c>
      <c r="D41" s="11">
        <v>77</v>
      </c>
      <c r="E41" s="12" t="s">
        <v>34</v>
      </c>
      <c r="F41" s="12" t="s">
        <v>35</v>
      </c>
      <c r="G41" s="12" t="s">
        <v>35</v>
      </c>
      <c r="H41" s="12" t="s">
        <v>36</v>
      </c>
      <c r="I41" s="11" t="s">
        <v>189</v>
      </c>
      <c r="J41" s="12" t="s">
        <v>190</v>
      </c>
      <c r="K41" s="13" t="s">
        <v>48</v>
      </c>
      <c r="L41" s="11" t="str">
        <f>"000156"</f>
        <v>000156</v>
      </c>
      <c r="M41" s="10">
        <v>43393</v>
      </c>
      <c r="N41" s="11" t="str">
        <f>"000113"</f>
        <v>000113</v>
      </c>
      <c r="O41" s="10">
        <v>43393</v>
      </c>
      <c r="P41" s="11" t="str">
        <f>"000156"</f>
        <v>000156</v>
      </c>
      <c r="Q41" s="10">
        <v>43393</v>
      </c>
      <c r="R41" s="11">
        <v>18</v>
      </c>
      <c r="S41" s="11" t="str">
        <f>"007965"</f>
        <v>007965</v>
      </c>
      <c r="T41" s="10">
        <v>43447</v>
      </c>
      <c r="U41" s="14">
        <v>14.99808</v>
      </c>
      <c r="V41" s="14">
        <v>1.62483</v>
      </c>
      <c r="W41" s="14">
        <v>13.373250000000001</v>
      </c>
      <c r="X41" s="11">
        <v>290</v>
      </c>
      <c r="Y41" s="10">
        <v>43448</v>
      </c>
      <c r="Z41" s="11">
        <v>9483161122</v>
      </c>
      <c r="AA41" s="12" t="s">
        <v>173</v>
      </c>
      <c r="AB41" s="11" t="s">
        <v>191</v>
      </c>
      <c r="AC41" s="12" t="s">
        <v>192</v>
      </c>
      <c r="AD41" s="11" t="s">
        <v>43</v>
      </c>
      <c r="AE41" s="12" t="s">
        <v>152</v>
      </c>
      <c r="AF41" s="14">
        <f t="shared" si="0"/>
        <v>0.1499808</v>
      </c>
      <c r="AG41" s="11" t="s">
        <v>92</v>
      </c>
    </row>
    <row r="42" spans="1:33" x14ac:dyDescent="0.2">
      <c r="A42" s="8">
        <v>7735</v>
      </c>
      <c r="B42" s="9" t="s">
        <v>184</v>
      </c>
      <c r="C42" s="10">
        <v>43448</v>
      </c>
      <c r="D42" s="11">
        <v>77</v>
      </c>
      <c r="E42" s="12" t="s">
        <v>34</v>
      </c>
      <c r="F42" s="12" t="s">
        <v>35</v>
      </c>
      <c r="G42" s="12" t="s">
        <v>35</v>
      </c>
      <c r="H42" s="12" t="s">
        <v>36</v>
      </c>
      <c r="I42" s="11" t="s">
        <v>193</v>
      </c>
      <c r="J42" s="12" t="s">
        <v>194</v>
      </c>
      <c r="K42" s="13" t="s">
        <v>54</v>
      </c>
      <c r="L42" s="11" t="str">
        <f>"000155"</f>
        <v>000155</v>
      </c>
      <c r="M42" s="10">
        <v>43393</v>
      </c>
      <c r="N42" s="11" t="str">
        <f>"000112"</f>
        <v>000112</v>
      </c>
      <c r="O42" s="10">
        <v>43393</v>
      </c>
      <c r="P42" s="11" t="str">
        <f>"000155"</f>
        <v>000155</v>
      </c>
      <c r="Q42" s="10">
        <v>43393</v>
      </c>
      <c r="R42" s="11">
        <v>18</v>
      </c>
      <c r="S42" s="11" t="str">
        <f>"007966"</f>
        <v>007966</v>
      </c>
      <c r="T42" s="10">
        <v>43447</v>
      </c>
      <c r="U42" s="14">
        <v>9.9978899999999999</v>
      </c>
      <c r="V42" s="14">
        <v>1.16107</v>
      </c>
      <c r="W42" s="14">
        <v>8.8368199999999995</v>
      </c>
      <c r="X42" s="11">
        <v>290</v>
      </c>
      <c r="Y42" s="10">
        <v>43448</v>
      </c>
      <c r="Z42" s="11">
        <v>9483161122</v>
      </c>
      <c r="AA42" s="12" t="s">
        <v>173</v>
      </c>
      <c r="AB42" s="11" t="s">
        <v>195</v>
      </c>
      <c r="AC42" s="12" t="s">
        <v>196</v>
      </c>
      <c r="AD42" s="11" t="s">
        <v>43</v>
      </c>
      <c r="AE42" s="12" t="s">
        <v>152</v>
      </c>
      <c r="AF42" s="14">
        <f t="shared" si="0"/>
        <v>9.9978899999999996E-2</v>
      </c>
      <c r="AG42" s="11" t="s">
        <v>92</v>
      </c>
    </row>
    <row r="43" spans="1:33" x14ac:dyDescent="0.2">
      <c r="A43" s="8">
        <v>7736</v>
      </c>
      <c r="B43" s="9" t="s">
        <v>184</v>
      </c>
      <c r="C43" s="10">
        <v>43448</v>
      </c>
      <c r="D43" s="11">
        <v>77</v>
      </c>
      <c r="E43" s="12" t="s">
        <v>34</v>
      </c>
      <c r="F43" s="12" t="s">
        <v>35</v>
      </c>
      <c r="G43" s="12" t="s">
        <v>35</v>
      </c>
      <c r="H43" s="12" t="s">
        <v>36</v>
      </c>
      <c r="I43" s="11" t="s">
        <v>197</v>
      </c>
      <c r="J43" s="12" t="s">
        <v>198</v>
      </c>
      <c r="K43" s="13" t="s">
        <v>77</v>
      </c>
      <c r="L43" s="11" t="str">
        <f>"000153"</f>
        <v>000153</v>
      </c>
      <c r="M43" s="10">
        <v>43393</v>
      </c>
      <c r="N43" s="11" t="str">
        <f>"000110"</f>
        <v>000110</v>
      </c>
      <c r="O43" s="10">
        <v>43393</v>
      </c>
      <c r="P43" s="11" t="str">
        <f>"000153"</f>
        <v>000153</v>
      </c>
      <c r="Q43" s="10">
        <v>43393</v>
      </c>
      <c r="R43" s="11">
        <v>18</v>
      </c>
      <c r="S43" s="11" t="str">
        <f>"007967"</f>
        <v>007967</v>
      </c>
      <c r="T43" s="10">
        <v>43447</v>
      </c>
      <c r="U43" s="14">
        <v>14.879519999999999</v>
      </c>
      <c r="V43" s="14">
        <v>1.6507499999999999</v>
      </c>
      <c r="W43" s="14">
        <v>13.228770000000001</v>
      </c>
      <c r="X43" s="11">
        <v>290</v>
      </c>
      <c r="Y43" s="10">
        <v>43448</v>
      </c>
      <c r="Z43" s="11">
        <v>9483161122</v>
      </c>
      <c r="AA43" s="12" t="s">
        <v>173</v>
      </c>
      <c r="AB43" s="11" t="s">
        <v>199</v>
      </c>
      <c r="AC43" s="12" t="s">
        <v>200</v>
      </c>
      <c r="AD43" s="11" t="s">
        <v>43</v>
      </c>
      <c r="AE43" s="12" t="s">
        <v>152</v>
      </c>
      <c r="AF43" s="14">
        <f t="shared" si="0"/>
        <v>0.14879519999999999</v>
      </c>
      <c r="AG43" s="11" t="s">
        <v>92</v>
      </c>
    </row>
    <row r="44" spans="1:33" x14ac:dyDescent="0.2">
      <c r="A44" s="8">
        <v>7866</v>
      </c>
      <c r="B44" s="9" t="s">
        <v>184</v>
      </c>
      <c r="C44" s="10">
        <v>43453</v>
      </c>
      <c r="D44" s="11">
        <v>77</v>
      </c>
      <c r="E44" s="12" t="s">
        <v>34</v>
      </c>
      <c r="F44" s="12" t="s">
        <v>35</v>
      </c>
      <c r="G44" s="12" t="s">
        <v>35</v>
      </c>
      <c r="H44" s="12" t="s">
        <v>36</v>
      </c>
      <c r="I44" s="11" t="s">
        <v>201</v>
      </c>
      <c r="J44" s="12" t="s">
        <v>202</v>
      </c>
      <c r="K44" s="13" t="s">
        <v>54</v>
      </c>
      <c r="L44" s="11" t="str">
        <f>"000164"</f>
        <v>000164</v>
      </c>
      <c r="M44" s="10">
        <v>43417</v>
      </c>
      <c r="N44" s="11" t="str">
        <f>"000117"</f>
        <v>000117</v>
      </c>
      <c r="O44" s="10">
        <v>43417</v>
      </c>
      <c r="P44" s="11" t="str">
        <f>"000164"</f>
        <v>000164</v>
      </c>
      <c r="Q44" s="10">
        <v>43417</v>
      </c>
      <c r="R44" s="11">
        <v>17</v>
      </c>
      <c r="S44" s="11" t="str">
        <f>"008069"</f>
        <v>008069</v>
      </c>
      <c r="T44" s="10">
        <v>43451</v>
      </c>
      <c r="U44" s="14">
        <v>11.904529999999999</v>
      </c>
      <c r="V44" s="14">
        <v>0.36903000000000002</v>
      </c>
      <c r="W44" s="14">
        <v>11.535500000000001</v>
      </c>
      <c r="X44" s="11">
        <v>296</v>
      </c>
      <c r="Y44" s="10">
        <v>43453</v>
      </c>
      <c r="Z44" s="11">
        <v>9483161122</v>
      </c>
      <c r="AA44" s="12" t="s">
        <v>173</v>
      </c>
      <c r="AB44" s="11" t="s">
        <v>73</v>
      </c>
      <c r="AC44" s="12" t="s">
        <v>74</v>
      </c>
      <c r="AD44" s="11" t="s">
        <v>43</v>
      </c>
      <c r="AE44" s="12" t="s">
        <v>152</v>
      </c>
      <c r="AF44" s="14">
        <f t="shared" si="0"/>
        <v>0.11904529999999999</v>
      </c>
      <c r="AG44" s="11" t="s">
        <v>92</v>
      </c>
    </row>
    <row r="45" spans="1:33" x14ac:dyDescent="0.2">
      <c r="A45" s="8">
        <v>7867</v>
      </c>
      <c r="B45" s="9" t="s">
        <v>184</v>
      </c>
      <c r="C45" s="10">
        <v>43453</v>
      </c>
      <c r="D45" s="11">
        <v>77</v>
      </c>
      <c r="E45" s="12" t="s">
        <v>34</v>
      </c>
      <c r="F45" s="12" t="s">
        <v>35</v>
      </c>
      <c r="G45" s="12" t="s">
        <v>35</v>
      </c>
      <c r="H45" s="12" t="s">
        <v>36</v>
      </c>
      <c r="I45" s="11" t="s">
        <v>203</v>
      </c>
      <c r="J45" s="12" t="s">
        <v>204</v>
      </c>
      <c r="K45" s="13" t="s">
        <v>71</v>
      </c>
      <c r="L45" s="11" t="str">
        <f>"000149"</f>
        <v>000149</v>
      </c>
      <c r="M45" s="10">
        <v>43393</v>
      </c>
      <c r="N45" s="11" t="str">
        <f>"000106"</f>
        <v>000106</v>
      </c>
      <c r="O45" s="10">
        <v>43393</v>
      </c>
      <c r="P45" s="11" t="str">
        <f>"000149"</f>
        <v>000149</v>
      </c>
      <c r="Q45" s="10">
        <v>43393</v>
      </c>
      <c r="R45" s="11">
        <v>18</v>
      </c>
      <c r="S45" s="11" t="str">
        <f>"008074"</f>
        <v>008074</v>
      </c>
      <c r="T45" s="10">
        <v>43451</v>
      </c>
      <c r="U45" s="14">
        <v>19.818200000000001</v>
      </c>
      <c r="V45" s="14">
        <v>2.18025</v>
      </c>
      <c r="W45" s="14">
        <v>17.63795</v>
      </c>
      <c r="X45" s="11">
        <v>296</v>
      </c>
      <c r="Y45" s="10">
        <v>43453</v>
      </c>
      <c r="Z45" s="11">
        <v>9483161122</v>
      </c>
      <c r="AA45" s="12" t="s">
        <v>173</v>
      </c>
      <c r="AB45" s="11" t="s">
        <v>205</v>
      </c>
      <c r="AC45" s="12" t="s">
        <v>206</v>
      </c>
      <c r="AD45" s="11" t="s">
        <v>43</v>
      </c>
      <c r="AE45" s="12" t="s">
        <v>152</v>
      </c>
      <c r="AF45" s="14">
        <f t="shared" si="0"/>
        <v>0.198182</v>
      </c>
      <c r="AG45" s="11" t="s">
        <v>92</v>
      </c>
    </row>
    <row r="46" spans="1:33" x14ac:dyDescent="0.2">
      <c r="A46" s="8">
        <v>8375</v>
      </c>
      <c r="B46" s="9" t="s">
        <v>207</v>
      </c>
      <c r="C46" s="10">
        <v>43469</v>
      </c>
      <c r="D46" s="11">
        <v>77</v>
      </c>
      <c r="E46" s="12" t="s">
        <v>34</v>
      </c>
      <c r="F46" s="12" t="s">
        <v>35</v>
      </c>
      <c r="G46" s="12" t="s">
        <v>35</v>
      </c>
      <c r="H46" s="12" t="s">
        <v>36</v>
      </c>
      <c r="I46" s="11" t="s">
        <v>140</v>
      </c>
      <c r="J46" s="12" t="s">
        <v>141</v>
      </c>
      <c r="K46" s="13" t="s">
        <v>142</v>
      </c>
      <c r="L46" s="11" t="str">
        <f>"000017"</f>
        <v>000017</v>
      </c>
      <c r="M46" s="10">
        <v>43161</v>
      </c>
      <c r="N46" s="11" t="str">
        <f>"000038"</f>
        <v>000038</v>
      </c>
      <c r="O46" s="10">
        <v>43360</v>
      </c>
      <c r="P46" s="11" t="str">
        <f>"000152"</f>
        <v>000152</v>
      </c>
      <c r="Q46" s="10">
        <v>43361</v>
      </c>
      <c r="R46" s="11"/>
      <c r="S46" s="11" t="str">
        <f>"008469"</f>
        <v>008469</v>
      </c>
      <c r="T46" s="10">
        <v>43467</v>
      </c>
      <c r="U46" s="14">
        <v>0.8</v>
      </c>
      <c r="V46" s="14">
        <v>0.08</v>
      </c>
      <c r="W46" s="14">
        <v>0.72</v>
      </c>
      <c r="X46" s="11">
        <v>314</v>
      </c>
      <c r="Y46" s="10">
        <v>43469</v>
      </c>
      <c r="Z46" s="11">
        <v>8867660554</v>
      </c>
      <c r="AA46" s="12" t="s">
        <v>208</v>
      </c>
      <c r="AB46" s="11" t="s">
        <v>144</v>
      </c>
      <c r="AC46" s="12" t="s">
        <v>145</v>
      </c>
      <c r="AD46" s="11" t="s">
        <v>146</v>
      </c>
      <c r="AE46" s="12" t="s">
        <v>147</v>
      </c>
      <c r="AF46" s="14">
        <f t="shared" si="0"/>
        <v>8.0000000000000002E-3</v>
      </c>
      <c r="AG46" s="11" t="s">
        <v>125</v>
      </c>
    </row>
    <row r="47" spans="1:33" x14ac:dyDescent="0.2">
      <c r="A47" s="8">
        <v>8385</v>
      </c>
      <c r="B47" s="9" t="s">
        <v>207</v>
      </c>
      <c r="C47" s="10">
        <v>43469</v>
      </c>
      <c r="D47" s="11">
        <v>77</v>
      </c>
      <c r="E47" s="12" t="s">
        <v>34</v>
      </c>
      <c r="F47" s="12" t="s">
        <v>35</v>
      </c>
      <c r="G47" s="12" t="s">
        <v>35</v>
      </c>
      <c r="H47" s="12" t="s">
        <v>36</v>
      </c>
      <c r="I47" s="11" t="s">
        <v>209</v>
      </c>
      <c r="J47" s="12" t="s">
        <v>210</v>
      </c>
      <c r="K47" s="13" t="s">
        <v>39</v>
      </c>
      <c r="L47" s="11" t="str">
        <f>"000177"</f>
        <v>000177</v>
      </c>
      <c r="M47" s="10">
        <v>43421</v>
      </c>
      <c r="N47" s="11" t="str">
        <f>"000127"</f>
        <v>000127</v>
      </c>
      <c r="O47" s="10">
        <v>43422</v>
      </c>
      <c r="P47" s="11" t="str">
        <f>"000177"</f>
        <v>000177</v>
      </c>
      <c r="Q47" s="10">
        <v>43422</v>
      </c>
      <c r="R47" s="11"/>
      <c r="S47" s="11" t="str">
        <f>"008479"</f>
        <v>008479</v>
      </c>
      <c r="T47" s="10">
        <v>43467</v>
      </c>
      <c r="U47" s="14">
        <v>274.68668000000002</v>
      </c>
      <c r="V47" s="14">
        <v>30.993690000000001</v>
      </c>
      <c r="W47" s="14">
        <v>243.69299000000001</v>
      </c>
      <c r="X47" s="11">
        <v>314</v>
      </c>
      <c r="Y47" s="10">
        <v>43469</v>
      </c>
      <c r="Z47" s="11">
        <v>9483161122</v>
      </c>
      <c r="AA47" s="12" t="s">
        <v>173</v>
      </c>
      <c r="AB47" s="11" t="s">
        <v>211</v>
      </c>
      <c r="AC47" s="12" t="s">
        <v>212</v>
      </c>
      <c r="AD47" s="11" t="s">
        <v>43</v>
      </c>
      <c r="AE47" s="12" t="s">
        <v>152</v>
      </c>
      <c r="AF47" s="14">
        <f t="shared" si="0"/>
        <v>2.7468668000000003</v>
      </c>
      <c r="AG47" s="11" t="s">
        <v>92</v>
      </c>
    </row>
    <row r="48" spans="1:33" x14ac:dyDescent="0.2">
      <c r="A48" s="8">
        <v>8498</v>
      </c>
      <c r="B48" s="9" t="s">
        <v>207</v>
      </c>
      <c r="C48" s="10">
        <v>43472</v>
      </c>
      <c r="D48" s="11">
        <v>77</v>
      </c>
      <c r="E48" s="12" t="s">
        <v>34</v>
      </c>
      <c r="F48" s="12" t="s">
        <v>35</v>
      </c>
      <c r="G48" s="12" t="s">
        <v>35</v>
      </c>
      <c r="H48" s="12" t="s">
        <v>36</v>
      </c>
      <c r="I48" s="11" t="s">
        <v>213</v>
      </c>
      <c r="J48" s="12" t="s">
        <v>214</v>
      </c>
      <c r="K48" s="13" t="s">
        <v>48</v>
      </c>
      <c r="L48" s="11" t="str">
        <f>"000212"</f>
        <v>000212</v>
      </c>
      <c r="M48" s="10">
        <v>43449</v>
      </c>
      <c r="N48" s="11" t="str">
        <f>"000150"</f>
        <v>000150</v>
      </c>
      <c r="O48" s="10">
        <v>43449</v>
      </c>
      <c r="P48" s="11" t="str">
        <f>"000208"</f>
        <v>000208</v>
      </c>
      <c r="Q48" s="10">
        <v>43449</v>
      </c>
      <c r="R48" s="11"/>
      <c r="S48" s="11" t="str">
        <f>"008666"</f>
        <v>008666</v>
      </c>
      <c r="T48" s="10">
        <v>43472</v>
      </c>
      <c r="U48" s="14">
        <v>108.74015</v>
      </c>
      <c r="V48" s="14">
        <v>12.99034</v>
      </c>
      <c r="W48" s="14">
        <v>95.749809999999997</v>
      </c>
      <c r="X48" s="11">
        <v>318</v>
      </c>
      <c r="Y48" s="10">
        <v>43472</v>
      </c>
      <c r="Z48" s="11">
        <v>9483161122</v>
      </c>
      <c r="AA48" s="12" t="s">
        <v>215</v>
      </c>
      <c r="AB48" s="11" t="s">
        <v>161</v>
      </c>
      <c r="AC48" s="12" t="s">
        <v>162</v>
      </c>
      <c r="AD48" s="11" t="s">
        <v>43</v>
      </c>
      <c r="AE48" s="12" t="s">
        <v>152</v>
      </c>
      <c r="AF48" s="14">
        <f t="shared" si="0"/>
        <v>1.0874014999999999</v>
      </c>
      <c r="AG48" s="11" t="s">
        <v>92</v>
      </c>
    </row>
    <row r="49" spans="1:33" x14ac:dyDescent="0.2">
      <c r="A49" s="8">
        <v>8564</v>
      </c>
      <c r="B49" s="9" t="s">
        <v>207</v>
      </c>
      <c r="C49" s="10">
        <v>43475</v>
      </c>
      <c r="D49" s="11">
        <v>77</v>
      </c>
      <c r="E49" s="12" t="s">
        <v>34</v>
      </c>
      <c r="F49" s="12" t="s">
        <v>35</v>
      </c>
      <c r="G49" s="12" t="s">
        <v>35</v>
      </c>
      <c r="H49" s="12" t="s">
        <v>36</v>
      </c>
      <c r="I49" s="11" t="s">
        <v>216</v>
      </c>
      <c r="J49" s="12" t="s">
        <v>217</v>
      </c>
      <c r="K49" s="13" t="s">
        <v>48</v>
      </c>
      <c r="L49" s="11" t="str">
        <f>"00.164"</f>
        <v>00.164</v>
      </c>
      <c r="M49" s="10">
        <v>42791</v>
      </c>
      <c r="N49" s="11" t="str">
        <f>"000032"</f>
        <v>000032</v>
      </c>
      <c r="O49" s="10">
        <v>42906</v>
      </c>
      <c r="P49" s="11" t="str">
        <f>"000246"</f>
        <v>000246</v>
      </c>
      <c r="Q49" s="10">
        <v>42906</v>
      </c>
      <c r="R49" s="11"/>
      <c r="S49" s="11" t="str">
        <f>"008223"</f>
        <v>008223</v>
      </c>
      <c r="T49" s="10">
        <v>43455</v>
      </c>
      <c r="U49" s="14">
        <v>9.9985099999999996</v>
      </c>
      <c r="V49" s="14">
        <v>1.2202999999999999</v>
      </c>
      <c r="W49" s="14">
        <v>8.7782099999999996</v>
      </c>
      <c r="X49" s="11">
        <v>321</v>
      </c>
      <c r="Y49" s="10">
        <v>43475</v>
      </c>
      <c r="Z49" s="11">
        <v>9845121251</v>
      </c>
      <c r="AA49" s="12" t="s">
        <v>218</v>
      </c>
      <c r="AB49" s="11" t="s">
        <v>41</v>
      </c>
      <c r="AC49" s="12" t="s">
        <v>42</v>
      </c>
      <c r="AD49" s="11" t="s">
        <v>43</v>
      </c>
      <c r="AE49" s="12" t="s">
        <v>152</v>
      </c>
      <c r="AF49" s="14">
        <f t="shared" si="0"/>
        <v>9.9985099999999993E-2</v>
      </c>
      <c r="AG49" s="11" t="s">
        <v>45</v>
      </c>
    </row>
    <row r="50" spans="1:33" x14ac:dyDescent="0.2">
      <c r="A50" s="8">
        <v>8756</v>
      </c>
      <c r="B50" s="9" t="s">
        <v>207</v>
      </c>
      <c r="C50" s="10">
        <v>43486</v>
      </c>
      <c r="D50" s="11">
        <v>77</v>
      </c>
      <c r="E50" s="12" t="s">
        <v>34</v>
      </c>
      <c r="F50" s="12" t="s">
        <v>35</v>
      </c>
      <c r="G50" s="12" t="s">
        <v>35</v>
      </c>
      <c r="H50" s="12" t="s">
        <v>36</v>
      </c>
      <c r="I50" s="11" t="s">
        <v>140</v>
      </c>
      <c r="J50" s="12" t="s">
        <v>141</v>
      </c>
      <c r="K50" s="13" t="s">
        <v>142</v>
      </c>
      <c r="L50" s="11" t="str">
        <f>"000017"</f>
        <v>000017</v>
      </c>
      <c r="M50" s="10">
        <v>43161</v>
      </c>
      <c r="N50" s="11" t="str">
        <f>"000038"</f>
        <v>000038</v>
      </c>
      <c r="O50" s="10">
        <v>43360</v>
      </c>
      <c r="P50" s="11" t="str">
        <f>"000152"</f>
        <v>000152</v>
      </c>
      <c r="Q50" s="10">
        <v>43361</v>
      </c>
      <c r="R50" s="11"/>
      <c r="S50" s="11" t="str">
        <f>"008469"</f>
        <v>008469</v>
      </c>
      <c r="T50" s="10">
        <v>43467</v>
      </c>
      <c r="U50" s="14">
        <v>2.95</v>
      </c>
      <c r="V50" s="14">
        <v>0.14468</v>
      </c>
      <c r="W50" s="14">
        <v>2.80532</v>
      </c>
      <c r="X50" s="11">
        <v>331</v>
      </c>
      <c r="Y50" s="10">
        <v>43486</v>
      </c>
      <c r="Z50" s="11">
        <v>9845030616</v>
      </c>
      <c r="AA50" s="12" t="s">
        <v>143</v>
      </c>
      <c r="AB50" s="11" t="s">
        <v>144</v>
      </c>
      <c r="AC50" s="12" t="s">
        <v>145</v>
      </c>
      <c r="AD50" s="11" t="s">
        <v>146</v>
      </c>
      <c r="AE50" s="12" t="s">
        <v>147</v>
      </c>
      <c r="AF50" s="14">
        <f t="shared" si="0"/>
        <v>2.9500000000000002E-2</v>
      </c>
      <c r="AG50" s="11" t="s">
        <v>125</v>
      </c>
    </row>
    <row r="51" spans="1:33" x14ac:dyDescent="0.2">
      <c r="A51" s="8">
        <v>8923</v>
      </c>
      <c r="B51" s="9" t="s">
        <v>219</v>
      </c>
      <c r="C51" s="10">
        <v>43497</v>
      </c>
      <c r="D51" s="11">
        <v>77</v>
      </c>
      <c r="E51" s="12" t="s">
        <v>34</v>
      </c>
      <c r="F51" s="12" t="s">
        <v>35</v>
      </c>
      <c r="G51" s="12" t="s">
        <v>35</v>
      </c>
      <c r="H51" s="12" t="s">
        <v>36</v>
      </c>
      <c r="I51" s="11" t="s">
        <v>220</v>
      </c>
      <c r="J51" s="12" t="s">
        <v>221</v>
      </c>
      <c r="K51" s="13" t="s">
        <v>39</v>
      </c>
      <c r="L51" s="11" t="str">
        <f>"000145"</f>
        <v>000145</v>
      </c>
      <c r="M51" s="10">
        <v>43374</v>
      </c>
      <c r="N51" s="11" t="str">
        <f>"000103"</f>
        <v>000103</v>
      </c>
      <c r="O51" s="10">
        <v>43374</v>
      </c>
      <c r="P51" s="11" t="str">
        <f>"000145"</f>
        <v>000145</v>
      </c>
      <c r="Q51" s="10">
        <v>43374</v>
      </c>
      <c r="R51" s="11"/>
      <c r="S51" s="11" t="str">
        <f>"008843"</f>
        <v>008843</v>
      </c>
      <c r="T51" s="10">
        <v>43484</v>
      </c>
      <c r="U51" s="14">
        <v>6.3357999999999999</v>
      </c>
      <c r="V51" s="14">
        <v>0.89464999999999995</v>
      </c>
      <c r="W51" s="14">
        <v>5.4411500000000004</v>
      </c>
      <c r="X51" s="11">
        <v>337</v>
      </c>
      <c r="Y51" s="10">
        <v>43497</v>
      </c>
      <c r="Z51" s="11">
        <v>9483161122</v>
      </c>
      <c r="AA51" s="12" t="s">
        <v>173</v>
      </c>
      <c r="AB51" s="11" t="s">
        <v>90</v>
      </c>
      <c r="AC51" s="12" t="s">
        <v>91</v>
      </c>
      <c r="AD51" s="11" t="s">
        <v>43</v>
      </c>
      <c r="AE51" s="12" t="s">
        <v>152</v>
      </c>
      <c r="AF51" s="14">
        <f t="shared" si="0"/>
        <v>6.3357999999999998E-2</v>
      </c>
      <c r="AG51" s="11" t="s">
        <v>92</v>
      </c>
    </row>
    <row r="52" spans="1:33" x14ac:dyDescent="0.2">
      <c r="A52" s="8">
        <v>8924</v>
      </c>
      <c r="B52" s="9" t="s">
        <v>219</v>
      </c>
      <c r="C52" s="10">
        <v>43497</v>
      </c>
      <c r="D52" s="11">
        <v>77</v>
      </c>
      <c r="E52" s="12" t="s">
        <v>34</v>
      </c>
      <c r="F52" s="12" t="s">
        <v>35</v>
      </c>
      <c r="G52" s="12" t="s">
        <v>35</v>
      </c>
      <c r="H52" s="12" t="s">
        <v>36</v>
      </c>
      <c r="I52" s="11" t="s">
        <v>222</v>
      </c>
      <c r="J52" s="12" t="s">
        <v>223</v>
      </c>
      <c r="K52" s="13" t="s">
        <v>39</v>
      </c>
      <c r="L52" s="11" t="str">
        <f>"000146"</f>
        <v>000146</v>
      </c>
      <c r="M52" s="10">
        <v>43374</v>
      </c>
      <c r="N52" s="11" t="str">
        <f>"000104"</f>
        <v>000104</v>
      </c>
      <c r="O52" s="10">
        <v>43374</v>
      </c>
      <c r="P52" s="11" t="str">
        <f>"000146"</f>
        <v>000146</v>
      </c>
      <c r="Q52" s="10">
        <v>43374</v>
      </c>
      <c r="R52" s="11"/>
      <c r="S52" s="11" t="str">
        <f>"008844"</f>
        <v>008844</v>
      </c>
      <c r="T52" s="10">
        <v>43484</v>
      </c>
      <c r="U52" s="14">
        <v>2.1278299999999999</v>
      </c>
      <c r="V52" s="14">
        <v>0.2515</v>
      </c>
      <c r="W52" s="14">
        <v>1.8763300000000001</v>
      </c>
      <c r="X52" s="11">
        <v>337</v>
      </c>
      <c r="Y52" s="10">
        <v>43497</v>
      </c>
      <c r="Z52" s="11">
        <v>9483161122</v>
      </c>
      <c r="AA52" s="12" t="s">
        <v>173</v>
      </c>
      <c r="AB52" s="11" t="s">
        <v>90</v>
      </c>
      <c r="AC52" s="12" t="s">
        <v>91</v>
      </c>
      <c r="AD52" s="11" t="s">
        <v>43</v>
      </c>
      <c r="AE52" s="12" t="s">
        <v>152</v>
      </c>
      <c r="AF52" s="14">
        <f t="shared" si="0"/>
        <v>2.12783E-2</v>
      </c>
      <c r="AG52" s="11" t="s">
        <v>92</v>
      </c>
    </row>
    <row r="53" spans="1:33" x14ac:dyDescent="0.2">
      <c r="A53" s="8">
        <v>8992</v>
      </c>
      <c r="B53" s="9" t="s">
        <v>219</v>
      </c>
      <c r="C53" s="10">
        <v>43503</v>
      </c>
      <c r="D53" s="11">
        <v>77</v>
      </c>
      <c r="E53" s="12" t="s">
        <v>34</v>
      </c>
      <c r="F53" s="12" t="s">
        <v>35</v>
      </c>
      <c r="G53" s="12" t="s">
        <v>35</v>
      </c>
      <c r="H53" s="12" t="s">
        <v>36</v>
      </c>
      <c r="I53" s="11" t="s">
        <v>224</v>
      </c>
      <c r="J53" s="12" t="s">
        <v>225</v>
      </c>
      <c r="K53" s="13" t="s">
        <v>39</v>
      </c>
      <c r="L53" s="11" t="str">
        <f>"000187"</f>
        <v>000187</v>
      </c>
      <c r="M53" s="10">
        <v>43437</v>
      </c>
      <c r="N53" s="11" t="str">
        <f>""</f>
        <v/>
      </c>
      <c r="O53" s="10">
        <v>43439</v>
      </c>
      <c r="P53" s="11" t="str">
        <f>""</f>
        <v/>
      </c>
      <c r="Q53" s="10"/>
      <c r="R53" s="11"/>
      <c r="S53" s="11" t="str">
        <f>""</f>
        <v/>
      </c>
      <c r="T53" s="10"/>
      <c r="U53" s="14">
        <v>9.9988299999999999</v>
      </c>
      <c r="V53" s="14">
        <v>1.2203599999999999</v>
      </c>
      <c r="W53" s="14">
        <v>8.7784700000000004</v>
      </c>
      <c r="X53" s="11">
        <v>343</v>
      </c>
      <c r="Y53" s="10">
        <v>43503</v>
      </c>
      <c r="Z53" s="11">
        <v>9632401323</v>
      </c>
      <c r="AA53" s="12" t="s">
        <v>226</v>
      </c>
      <c r="AB53" s="11" t="s">
        <v>41</v>
      </c>
      <c r="AC53" s="12" t="s">
        <v>42</v>
      </c>
      <c r="AD53" s="11" t="s">
        <v>43</v>
      </c>
      <c r="AE53" s="12" t="s">
        <v>152</v>
      </c>
      <c r="AF53" s="14">
        <f t="shared" si="0"/>
        <v>9.9988300000000002E-2</v>
      </c>
      <c r="AG53" s="11" t="s">
        <v>125</v>
      </c>
    </row>
    <row r="54" spans="1:33" x14ac:dyDescent="0.2">
      <c r="A54" s="8">
        <v>9779</v>
      </c>
      <c r="B54" s="9" t="s">
        <v>227</v>
      </c>
      <c r="C54" s="10">
        <v>43544</v>
      </c>
      <c r="D54" s="11">
        <v>77</v>
      </c>
      <c r="E54" s="12" t="s">
        <v>34</v>
      </c>
      <c r="F54" s="12" t="s">
        <v>35</v>
      </c>
      <c r="G54" s="12" t="s">
        <v>35</v>
      </c>
      <c r="H54" s="12" t="s">
        <v>36</v>
      </c>
      <c r="I54" s="11" t="s">
        <v>228</v>
      </c>
      <c r="J54" s="12" t="s">
        <v>229</v>
      </c>
      <c r="K54" s="13" t="s">
        <v>54</v>
      </c>
      <c r="L54" s="11" t="str">
        <f>"000148"</f>
        <v>000148</v>
      </c>
      <c r="M54" s="10">
        <v>43388</v>
      </c>
      <c r="N54" s="11" t="str">
        <f>"000105"</f>
        <v>000105</v>
      </c>
      <c r="O54" s="10">
        <v>43388</v>
      </c>
      <c r="P54" s="11" t="str">
        <f>"000148"</f>
        <v>000148</v>
      </c>
      <c r="Q54" s="10">
        <v>43388</v>
      </c>
      <c r="R54" s="11"/>
      <c r="S54" s="11" t="str">
        <f>"009663"</f>
        <v>009663</v>
      </c>
      <c r="T54" s="10">
        <v>43536</v>
      </c>
      <c r="U54" s="14">
        <v>49.993040000000001</v>
      </c>
      <c r="V54" s="14">
        <v>6.6545199999999998</v>
      </c>
      <c r="W54" s="14">
        <v>43.338520000000003</v>
      </c>
      <c r="X54" s="11">
        <v>379</v>
      </c>
      <c r="Y54" s="10">
        <v>43544</v>
      </c>
      <c r="Z54" s="11">
        <v>9483161122</v>
      </c>
      <c r="AA54" s="12" t="s">
        <v>173</v>
      </c>
      <c r="AB54" s="11" t="s">
        <v>90</v>
      </c>
      <c r="AC54" s="12" t="s">
        <v>91</v>
      </c>
      <c r="AD54" s="11" t="s">
        <v>43</v>
      </c>
      <c r="AE54" s="12" t="s">
        <v>152</v>
      </c>
      <c r="AF54" s="14">
        <f t="shared" si="0"/>
        <v>0.4999304</v>
      </c>
      <c r="AG54" s="11" t="s">
        <v>92</v>
      </c>
    </row>
    <row r="55" spans="1:33" x14ac:dyDescent="0.2">
      <c r="A55" s="8">
        <v>9805</v>
      </c>
      <c r="B55" s="9" t="s">
        <v>227</v>
      </c>
      <c r="C55" s="10">
        <v>43546</v>
      </c>
      <c r="D55" s="11">
        <v>77</v>
      </c>
      <c r="E55" s="12" t="s">
        <v>34</v>
      </c>
      <c r="F55" s="12" t="s">
        <v>35</v>
      </c>
      <c r="G55" s="12" t="s">
        <v>35</v>
      </c>
      <c r="H55" s="12" t="s">
        <v>36</v>
      </c>
      <c r="I55" s="11" t="s">
        <v>230</v>
      </c>
      <c r="J55" s="12" t="s">
        <v>231</v>
      </c>
      <c r="K55" s="13" t="s">
        <v>232</v>
      </c>
      <c r="L55" s="11" t="str">
        <f>"000184"</f>
        <v>000184</v>
      </c>
      <c r="M55" s="10">
        <v>43428</v>
      </c>
      <c r="N55" s="11" t="str">
        <f>"000144"</f>
        <v>000144</v>
      </c>
      <c r="O55" s="10">
        <v>43428</v>
      </c>
      <c r="P55" s="11" t="str">
        <f>"000195"</f>
        <v>000195</v>
      </c>
      <c r="Q55" s="10">
        <v>43428</v>
      </c>
      <c r="R55" s="11"/>
      <c r="S55" s="11" t="str">
        <f>"009817"</f>
        <v>009817</v>
      </c>
      <c r="T55" s="10">
        <v>43544</v>
      </c>
      <c r="U55" s="14">
        <v>9.9944699999999997</v>
      </c>
      <c r="V55" s="14">
        <v>1.0697000000000001</v>
      </c>
      <c r="W55" s="14">
        <v>8.9247700000000005</v>
      </c>
      <c r="X55" s="11">
        <v>382</v>
      </c>
      <c r="Y55" s="10">
        <v>43546</v>
      </c>
      <c r="Z55" s="11">
        <v>9483161122</v>
      </c>
      <c r="AA55" s="12" t="s">
        <v>173</v>
      </c>
      <c r="AB55" s="11" t="s">
        <v>73</v>
      </c>
      <c r="AC55" s="12" t="s">
        <v>74</v>
      </c>
      <c r="AD55" s="11" t="s">
        <v>43</v>
      </c>
      <c r="AE55" s="12" t="s">
        <v>152</v>
      </c>
      <c r="AF55" s="14">
        <f t="shared" si="0"/>
        <v>9.9944699999999997E-2</v>
      </c>
      <c r="AG55" s="11" t="s">
        <v>92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2019-06-13T07:48:24Z</dcterms:modified>
</cp:coreProperties>
</file>