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64" i="1" l="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<sst xmlns="http://schemas.openxmlformats.org/spreadsheetml/2006/main" count="915" uniqueCount="250">
  <si>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</si>
  <si>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</si>
  <si>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</si>
  <si>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</si>
  <si>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</si>
  <si>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</si>
  <si>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</si>
  <si>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</si>
  <si>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</si>
  <si>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</si>
  <si>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</si>
  <si>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</si>
  <si>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</si>
  <si>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</si>
  <si>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</si>
  <si>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</si>
  <si>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</si>
  <si>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</si>
  <si>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</si>
  <si>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</si>
  <si>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</si>
  <si>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</si>
  <si>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</si>
  <si>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</si>
  <si>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</si>
  <si>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</si>
  <si>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</si>
  <si>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</si>
  <si>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</si>
  <si>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</si>
  <si>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</si>
  <si>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</si>
  <si>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</si>
  <si>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</si>
  <si>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Kodigehalli</t>
  </si>
  <si>
    <t>Byatarayana Pura</t>
  </si>
  <si>
    <t>Yelahanka</t>
  </si>
  <si>
    <t>008-16-000012</t>
  </si>
  <si>
    <t>Providing Sodium Fitting and Electrical Fittings to the areas of Ward no 8 Kodigehalli Sub Division</t>
  </si>
  <si>
    <t>Other Ward Works</t>
  </si>
  <si>
    <t>Pradeep kumar S.N. Propritar of M/S Ganga Entarprises</t>
  </si>
  <si>
    <t>P3089</t>
  </si>
  <si>
    <t>Special Development works in 7 CMC and 1 TMC area in BBMP</t>
  </si>
  <si>
    <t>ddo617</t>
  </si>
  <si>
    <t xml:space="preserve"> Executive Engineer Electrical Yelhanka Zone</t>
  </si>
  <si>
    <t>Pending</t>
  </si>
  <si>
    <t>008-16-000009</t>
  </si>
  <si>
    <t>Improvements to Roads and Drains at Pappanna Badavane near GR Kalyana Mantapa in ward no 08 Kodigehalli Sub Division</t>
  </si>
  <si>
    <t>Roads &amp; Drivablility</t>
  </si>
  <si>
    <t xml:space="preserve">K Narasimharaju </t>
  </si>
  <si>
    <t>ddo475</t>
  </si>
  <si>
    <t xml:space="preserve"> Assistant Executive Engineer Virupakshapura Sub division Yelhanka Zone</t>
  </si>
  <si>
    <t>008-16-000010</t>
  </si>
  <si>
    <t>Improvements to Cross Roads and Drains near Kalpatharu Appartments and Srinindhi Badavane Opp. To Tatanagara in ward no 08 Kodigehalli Sub Division</t>
  </si>
  <si>
    <t>Sanjay Reddy H J</t>
  </si>
  <si>
    <t>May</t>
  </si>
  <si>
    <t>008-16-000017</t>
  </si>
  <si>
    <t>Patching pot holes in main and cross roads of Bhadrappa layout devinagara lottegollahalli muneshwaranagara tatanagara kodigehalli and surroundings areas in ward no 8</t>
  </si>
  <si>
    <t>Taranath K R</t>
  </si>
  <si>
    <t>P1771</t>
  </si>
  <si>
    <t>Zone Works - POW Works</t>
  </si>
  <si>
    <t>June</t>
  </si>
  <si>
    <t>008-16-000024</t>
  </si>
  <si>
    <t>Arrangements for immersion of ganesha during gowri ganesha festival in hebbal tank in ward no 8 kodigehalli</t>
  </si>
  <si>
    <t>B K Shanthakumari</t>
  </si>
  <si>
    <t>008-16-000015</t>
  </si>
  <si>
    <t>Desilting and debris clearance in main and cross road drains in Balaji layout Maruthinagara BB nagara Sahakaranagara B C and D block shanthinikethana and surrounding areas in ward no 8 Kodigehalli</t>
  </si>
  <si>
    <t>Health &amp; Sanitation</t>
  </si>
  <si>
    <t>B. Shankar</t>
  </si>
  <si>
    <t>008-17-000033</t>
  </si>
  <si>
    <t>Improvements to road, drain and footpath in cross roads of Devinagara in ward no 08 Kodigehalli</t>
  </si>
  <si>
    <t>Executive Engineer,Karnataka Rural Infrastructure Development Ltd</t>
  </si>
  <si>
    <t>P3111</t>
  </si>
  <si>
    <t>State Finance Commission Untied Grant Works</t>
  </si>
  <si>
    <t>Spill Over</t>
  </si>
  <si>
    <t>008-16-000007</t>
  </si>
  <si>
    <t>Improvements to Roads and Drains at Muneshwara Layout Surroundings in ward no 08 Kodigehalli Sub Division</t>
  </si>
  <si>
    <t>Sanjay Reddy H j</t>
  </si>
  <si>
    <t>008-16-000018</t>
  </si>
  <si>
    <t>Patching pot holes in main and cross roads of Balaji layout Maruthinagara BB nagara Sahakaranagara B C and D block shanthinikethana and surrounding areas in ward no 8</t>
  </si>
  <si>
    <t>Madhan KUmar H V</t>
  </si>
  <si>
    <t>008-11-000014</t>
  </si>
  <si>
    <t>Improvements of Drains and Store Water Drain in Ward No. 8 Kodigehalli Sub Division.</t>
  </si>
  <si>
    <t>Footpaths &amp; Walkability</t>
  </si>
  <si>
    <t>C Narasaraju</t>
  </si>
  <si>
    <t>July</t>
  </si>
  <si>
    <t>008-14-000037</t>
  </si>
  <si>
    <t>Providing water supply lines and facilities in ward No 8 Kodigehalli Sub division Sahakaranagar Yelahanka zone BBMP Bangalore</t>
  </si>
  <si>
    <t>Water &amp; Sanitary</t>
  </si>
  <si>
    <t>M/S KRIDL</t>
  </si>
  <si>
    <t>P1802</t>
  </si>
  <si>
    <t>Water Supply New Areas</t>
  </si>
  <si>
    <t>008-16-000008</t>
  </si>
  <si>
    <t>Improvements to Roads and Drains at Sahakaranagara Surroundings in ward no 08 Kodigehalli Sub Division</t>
  </si>
  <si>
    <t>K R Santhosh Kumar</t>
  </si>
  <si>
    <t>008-16-000003</t>
  </si>
  <si>
    <t>Improvements to Roads and Drains at Bhadrappa Layout Surroundings in ward no 08 Kodigehalli Sub Division</t>
  </si>
  <si>
    <t>008-16-000022</t>
  </si>
  <si>
    <t>Development of tatanagara 4th cross childrens park in ward no 8 kodigehalli</t>
  </si>
  <si>
    <t>Trees, Parks &amp; Playgrounds</t>
  </si>
  <si>
    <t>008-16-000004</t>
  </si>
  <si>
    <t>Improvements to Roads and Drains at Kodigehalli Village Surroundings in ward no 08 Kodigehalli Sub Division</t>
  </si>
  <si>
    <t>M N Shashidhar</t>
  </si>
  <si>
    <t>008-15-000069</t>
  </si>
  <si>
    <t>Improvements and asphalting to roads in Sahakaranagar in ward no 08</t>
  </si>
  <si>
    <t>N Venkatesh</t>
  </si>
  <si>
    <t>P3055</t>
  </si>
  <si>
    <t>Development works in ward no 195,128,179,180,138,27,190,133,4,32,69,8,172,103,10 (Rs. 300.00 Lakhs/ward)</t>
  </si>
  <si>
    <t>008-16-000020</t>
  </si>
  <si>
    <t>Construction of drain connecting BB nagara to Sonnegowda layout in ward no 8 kodigehalli</t>
  </si>
  <si>
    <t>Gnanendra Reddy</t>
  </si>
  <si>
    <t>008-15-000043</t>
  </si>
  <si>
    <t>Improvements to cross roads and drain in Amco layout in ward no 08</t>
  </si>
  <si>
    <t>Amruthraj</t>
  </si>
  <si>
    <t>P2415</t>
  </si>
  <si>
    <t>Reserve fund for TandF Committee</t>
  </si>
  <si>
    <t>008-15-000042</t>
  </si>
  <si>
    <t>Improvements to cross roads and drain in Kodigehalli village in ward no 08</t>
  </si>
  <si>
    <t>008-15-000075</t>
  </si>
  <si>
    <t xml:space="preserve">Improvements to roads and drains at Sahakaranagara B C and D Blocks in ward no 08 Kodigehalli Sub Division </t>
  </si>
  <si>
    <t>P3075</t>
  </si>
  <si>
    <t>Special comprehensive development works in Bangalore city (Bangalore city in charge Minister Discretionary Grants)</t>
  </si>
  <si>
    <t>008-14-000043</t>
  </si>
  <si>
    <t>Estimate for Emergency water supply to Drilling of Borewells Erection of pump motor in TATA Nagar Park at Ward No 8 Kodigehalli Sub Division</t>
  </si>
  <si>
    <t>008-14-000044</t>
  </si>
  <si>
    <t>Estimate for Emergency water supply to Drilling of Borewells Erection of pump motor in Sahakaranagar Park at ward No 8 Kodigehalli Sub Division</t>
  </si>
  <si>
    <t>008-16-000013</t>
  </si>
  <si>
    <t>Operation and maintenance of Street lights in Kodigehalli Ward W No 8Package Y 8</t>
  </si>
  <si>
    <t>Muniraju HC Prof of M/s Sri Chamundeshwari Electricals</t>
  </si>
  <si>
    <t>P0300</t>
  </si>
  <si>
    <t>M and R to Street Lights - Replacement of Burnt Bulbs etc. (Package)</t>
  </si>
  <si>
    <t>August</t>
  </si>
  <si>
    <t>008-16-000001</t>
  </si>
  <si>
    <t>Improvements to Roads and Drains at Balaji Layout Surroundings in ward no 08 Kodigehalli Sub Division</t>
  </si>
  <si>
    <t>M Rajashekar</t>
  </si>
  <si>
    <t>008-14-000041</t>
  </si>
  <si>
    <t>Estimate for Emergency water supply to Drilling of Borewells Erection of pump motor in Muneshwara Block at Ward No 8 Kodigehalli Sub Division</t>
  </si>
  <si>
    <t>008-16-000028</t>
  </si>
  <si>
    <t>Installation and construction of RO plant in ward no 8 kodighalli</t>
  </si>
  <si>
    <t>Drinking Water</t>
  </si>
  <si>
    <t>R Vasanth</t>
  </si>
  <si>
    <t>008-16-000025</t>
  </si>
  <si>
    <t>Arrangements for immersion of ganesha during gowri ganesha festival in sahakaranagara tank in ward no 8 kodigehalli</t>
  </si>
  <si>
    <t>008-17-000029</t>
  </si>
  <si>
    <t>REPAIRS AND MAINTENANCE TO EXISTING BOREWELLS IN TATANAGARA KODIGEHALLI MUNISWAMAPPA LAYOUT RAMAIAH BADAVANE SONNEGOWDA LAYOUT SAHAKARANAGARA AND SURROUNDINGS AREAS WARD NO 8 KODIGEHALLI</t>
  </si>
  <si>
    <t>008-17-000027</t>
  </si>
  <si>
    <t>PROVIDING POTABLE WATER TO RESIDENTS OF BHADRAPPA LAYOUT PHASE I AND II BALAJI LAYOUT KODIGEHALLI AND SURROUNDING AREAS THROUGH TRACTOR MOUNTED TANKERS IN WARD NO 8 KODIGEHALLI</t>
  </si>
  <si>
    <t>008-17-000026</t>
  </si>
  <si>
    <t>PROVIDING POTABLE WATER TO RESIDENTS OF DEVINAGARA MUNESHWARANAGARA CP LAYOUT LOTTEGOLLAHALLI AND SURROUNDING AREAS THROUGH TRACTOR MOUNTED TANKERS IN WARD NO O8 KODIGEHALLI</t>
  </si>
  <si>
    <t>008-17-000028</t>
  </si>
  <si>
    <t>REPAIRS AND MAINTENANCE TO EXISTING BOREWELLS IN LOTTEGOLLHALLI , DEVINAGARA, MUNESHWARANAGARA LKR NAGARA AND SURROUNDINGS WARD NO 8 KODIGEHALLI</t>
  </si>
  <si>
    <t>008-17-000053</t>
  </si>
  <si>
    <t>Providing Water supply and other works at Ward No. 8</t>
  </si>
  <si>
    <t>P3110</t>
  </si>
  <si>
    <t>14th Finance Commission Grant Works</t>
  </si>
  <si>
    <t>September</t>
  </si>
  <si>
    <t>008-16-000038</t>
  </si>
  <si>
    <t>Providing L E D Street light to Shakaranagara Dee Enclave etc,. In ward no 8</t>
  </si>
  <si>
    <t>Tecnical Manegar KRIDL</t>
  </si>
  <si>
    <t>P0190</t>
  </si>
  <si>
    <t>Works sanctioned by Hon Mayor</t>
  </si>
  <si>
    <t>008-16-000037</t>
  </si>
  <si>
    <t>Providing LED Street lights to Kodigehalli Balaji Layout Bhadrappa layout Amco layout etc., in ward no 8</t>
  </si>
  <si>
    <t>008-14-000013</t>
  </si>
  <si>
    <t>Estimate for the Improvements of Drain and Cement Concrete road in Kodigehalli A K Colony in ward No 08 Kodigehalli Kodigehalli sub division</t>
  </si>
  <si>
    <t>B R Dhananjaya</t>
  </si>
  <si>
    <t>008-11-000027</t>
  </si>
  <si>
    <t>Maintainence of Govt. School Buildings and Other Buildings in Ward No. 8, Kodigehalli Sub Division.</t>
  </si>
  <si>
    <t>Education</t>
  </si>
  <si>
    <t>ddo226</t>
  </si>
  <si>
    <t xml:space="preserve"> Assistant Executive Engineer Dasarahalli Yelhanka Zone</t>
  </si>
  <si>
    <t>008-17-000005</t>
  </si>
  <si>
    <t>DESILTING AND DEBRIS CLEARANCE IN MAIN AND CROSS ROAD DRAINS IN SAHAKARANAGARA B C AND D BLOCK DEFENCE COLONY CQAL LAYOUT AND SURROUNDING AREAS IN WARD NO 8 KODIGEHALLI</t>
  </si>
  <si>
    <t>R Vijaya Kumar C K Constructions</t>
  </si>
  <si>
    <t>008-18-000032</t>
  </si>
  <si>
    <t>Package 5 Including 4 works of Rs 170.00 Lakhs 1. Reasphalting to main and cross roads at B C and D Blocks of Sahakaranagara in Ward.No.08 Kodigehalli 2. Improvements to Roads and Drains at Devenagara and Lottegollhalli in ward no 08 Kodigehalli 3. Improvements to Roads and Drains at Balaji Layout and Surrounding in ward no:08 4. Provding and Laying new Road at Sonnegowda Layout and Surrounding in ward no 08</t>
  </si>
  <si>
    <t>MS KBR Infratech Limited</t>
  </si>
  <si>
    <t>Current</t>
  </si>
  <si>
    <t>008-16-000019</t>
  </si>
  <si>
    <t>Improvements to drains in 1st to 4th main road 2nd cross road to 8th cross road in tatanagara in ward no 8 kodigehalli</t>
  </si>
  <si>
    <t>Narasimhaiah N</t>
  </si>
  <si>
    <t>008-15-000034</t>
  </si>
  <si>
    <t>Emergency works in ward no 8 kodigehalli sub division</t>
  </si>
  <si>
    <t>Narayanasamy R</t>
  </si>
  <si>
    <t>008-17-000025</t>
  </si>
  <si>
    <t>PROVIDING AND INSTALLATION OF WATER SUPPLY PIPELINES TO EXISTING WATER SUPPLY NETWORK IN WARD NO 8 KODIGEHALLI</t>
  </si>
  <si>
    <t>October</t>
  </si>
  <si>
    <t>008-17-000035</t>
  </si>
  <si>
    <t>Improvements to road, drain and footpath in main and cross roads of Kodigehalli in Ward No. 8 Kodigehalli</t>
  </si>
  <si>
    <t>Pramodh M/s Karthik Enterprises</t>
  </si>
  <si>
    <t>P3158</t>
  </si>
  <si>
    <t>SIP Infrastructure Project works</t>
  </si>
  <si>
    <t>008-17-000023</t>
  </si>
  <si>
    <t>PROCURING AND INSTALLATION OF TIMER SETS TO EXISTING STREET LIGHTS IN WARD NO 8 KODIGEHALLI</t>
  </si>
  <si>
    <t>M/s Sri Lakshmi varadaraja Electrical Stors</t>
  </si>
  <si>
    <t>November</t>
  </si>
  <si>
    <t>008-18-000023</t>
  </si>
  <si>
    <t>Improvements to DWCC in ward No.08 and other SWM works in Kodigehalli</t>
  </si>
  <si>
    <t>M/S KRIDL(WEST)</t>
  </si>
  <si>
    <t>P3298</t>
  </si>
  <si>
    <t>14th Finance Commission Works - SWM Works</t>
  </si>
  <si>
    <t>ddo235</t>
  </si>
  <si>
    <t xml:space="preserve"> Assistant Executive Engineer Project-1 Yelahanka Zone</t>
  </si>
  <si>
    <t>December</t>
  </si>
  <si>
    <t>008-17-000054</t>
  </si>
  <si>
    <t>Engagement of Gangman and Hiring of Tractor Tippers for cleaning and Maintenance of road side drains and other cleaning works in works in ward no 08</t>
  </si>
  <si>
    <t>N N Sreenivasaiah</t>
  </si>
  <si>
    <t>008-18-000047</t>
  </si>
  <si>
    <t>Providing LED Street lights in Kodigehalli ward no 8</t>
  </si>
  <si>
    <t>Technical Manger</t>
  </si>
  <si>
    <t>P3290</t>
  </si>
  <si>
    <t>14th Finance Commission Works - Providing Street Lights and Maintenance</t>
  </si>
  <si>
    <t>008-17-000061</t>
  </si>
  <si>
    <t>Providing and fitting of LED Lights in W N 8</t>
  </si>
  <si>
    <t>008-18-000031</t>
  </si>
  <si>
    <t xml:space="preserve">Providing street light and electrical accessories in ward No.08, Kodigehalli </t>
  </si>
  <si>
    <t xml:space="preserve">Technical Manager  </t>
  </si>
  <si>
    <t>008-17-000024</t>
  </si>
  <si>
    <t>DRILLING OF BOREWELL AND INSTALLATION OF MOTOR PUMP AND OTHER ACCESSORIES IN WARD NO 8 KODIGEHALLI</t>
  </si>
  <si>
    <t>January</t>
  </si>
  <si>
    <t>February</t>
  </si>
  <si>
    <t>008-17-000036</t>
  </si>
  <si>
    <t>Consulting Services for Construction Supervision and Projects Management and quality Control for the work of Improvements to Roads,Drains,Footpaths and Park in ward no:08(PACKAGE COMPRISES OF 11 PARTS)</t>
  </si>
  <si>
    <t>M/s Tejas Consultants</t>
  </si>
  <si>
    <t>March</t>
  </si>
  <si>
    <t>008-18-000019</t>
  </si>
  <si>
    <t>Improvements to roads and drains at Kodigehalli village from 1st to 3rd cross and other roads in ward No.08, Kodigehalli.</t>
  </si>
  <si>
    <t>Technical Manger(West)</t>
  </si>
  <si>
    <t>P3296</t>
  </si>
  <si>
    <t>14th Finance Commission Works - Road and Footpath Maintenance</t>
  </si>
  <si>
    <t>008-16-000031</t>
  </si>
  <si>
    <t>Emergency works Culverts footpaths and others in ward No 8 Kodigehalli</t>
  </si>
  <si>
    <t>N Naveen Kumar</t>
  </si>
  <si>
    <t>008-17-000018</t>
  </si>
  <si>
    <t>IMPROVEMENTS TO ROADS AND DRAINS IN HEBBAL SAROVA BALAJI LAYOUT AND SURROUNDING AREAS IN WARD NO 8 KODIGEHALLI</t>
  </si>
  <si>
    <t>N Venkata Reddy</t>
  </si>
  <si>
    <t>008-17-000020</t>
  </si>
  <si>
    <t>IMPROVEMENTS TO ROADS AND DRAINS IN KODIGEHALLI AND EXTENSION AREAS IN WARD NO 8 KODIGEHALLI</t>
  </si>
  <si>
    <t>008-17-000013</t>
  </si>
  <si>
    <t>CONSTRUCTION OF CEMENT CONCRETRE ROAD AND IMPROVEMENTS TO DRAIN IN BB NAGARA AND MARUTHINAGARA IN WARD NO 8 KODIGEHALLI</t>
  </si>
  <si>
    <t>008-17-000007</t>
  </si>
  <si>
    <t>DESILTING AND DEBRIS CLEARANCE IN MAIN AND CROSS ROAD DRAINS IN CP LAYOUT BHADRAPPA LAYOUT AND SURROUNDINGS AREAS IN WARD NO 8 KODIGEHALLI</t>
  </si>
  <si>
    <t xml:space="preserve"> Narasimhareddy S</t>
  </si>
  <si>
    <t>008-17-000019</t>
  </si>
  <si>
    <t>PROVISION OF RAIN WATER HARVESTING UNITS IN WARD NO 8 KODIGEHALLI</t>
  </si>
  <si>
    <t>Rain Water Harvestin</t>
  </si>
  <si>
    <t>008-17-000004</t>
  </si>
  <si>
    <t>DESILTING AND DEBRIS CLEARANCE IN MAIN AND CROSS ROAD DRAINS IN TATANAGARA KODIGEHALLI MUNISWAMAPPA LAYOUT RAMAIAH BADAVANE SONNEGOWDA LAYOUT AND SURROUNDINGS AREAS IN WARD NO 8 KODIGEHALLI</t>
  </si>
  <si>
    <t>008-17-000016</t>
  </si>
  <si>
    <t>DEVELOPMENT OF PARKS IN WARD NO 8 KODIGEHALLI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</si>
</sst>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tabSelected="1" workbookViewId="0">
      <pane ySplit="1" topLeftCell="A2" activePane="bottomLeft" state="frozen"/>
      <selection activeCell="H1" sqref="H1"/>
      <selection pane="bottomLeft" activeCell="F11" sqref="F11"/>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325</v>
      </c>
      <c r="B2" s="9" t="s">
        <v>33</v>
      </c>
      <c r="C2" s="10">
        <v>43200</v>
      </c>
      <c r="D2" s="11">
        <v>8</v>
      </c>
      <c r="E2" s="12" t="s">
        <v>34</v>
      </c>
      <c r="F2" s="12" t="s">
        <v>35</v>
      </c>
      <c r="G2" s="12" t="s">
        <v>35</v>
      </c>
      <c r="H2" s="12" t="s">
        <v>36</v>
      </c>
      <c r="I2" s="11" t="s">
        <v>37</v>
      </c>
      <c r="J2" s="12" t="s">
        <v>38</v>
      </c>
      <c r="K2" s="13" t="s">
        <v>39</v>
      </c>
      <c r="L2" s="11" t="str">
        <f>"000187"</f>
        <v>000187</v>
      </c>
      <c r="M2" s="10">
        <v>42398</v>
      </c>
      <c r="N2" s="11" t="str">
        <f>"000056"</f>
        <v>000056</v>
      </c>
      <c r="O2" s="10">
        <v>42559</v>
      </c>
      <c r="P2" s="11" t="str">
        <f>"000056"</f>
        <v>000056</v>
      </c>
      <c r="Q2" s="10">
        <v>42559</v>
      </c>
      <c r="R2" s="11">
        <v>16</v>
      </c>
      <c r="S2" s="11" t="str">
        <f>"011023"</f>
        <v>011023</v>
      </c>
      <c r="T2" s="10">
        <v>43187</v>
      </c>
      <c r="U2" s="14">
        <v>8.0931499999999996</v>
      </c>
      <c r="V2" s="14">
        <v>0.93903000000000003</v>
      </c>
      <c r="W2" s="14">
        <v>7.1541199999999998</v>
      </c>
      <c r="X2" s="11">
        <v>9</v>
      </c>
      <c r="Y2" s="10">
        <v>43200</v>
      </c>
      <c r="Z2" s="11">
        <v>9620096296</v>
      </c>
      <c r="AA2" s="12" t="s">
        <v>40</v>
      </c>
      <c r="AB2" s="11" t="s">
        <v>41</v>
      </c>
      <c r="AC2" s="12" t="s">
        <v>42</v>
      </c>
      <c r="AD2" s="11" t="s">
        <v>43</v>
      </c>
      <c r="AE2" s="12" t="s">
        <v>44</v>
      </c>
      <c r="AF2" s="14">
        <v>8.093149999999999E-2</v>
      </c>
      <c r="AG2" s="11" t="s">
        <v>45</v>
      </c>
    </row>
    <row r="3" spans="1:33" x14ac:dyDescent="0.2">
      <c r="A3" s="8">
        <v>326</v>
      </c>
      <c r="B3" s="9" t="s">
        <v>33</v>
      </c>
      <c r="C3" s="10">
        <v>43200</v>
      </c>
      <c r="D3" s="11">
        <v>8</v>
      </c>
      <c r="E3" s="12" t="s">
        <v>34</v>
      </c>
      <c r="F3" s="12" t="s">
        <v>35</v>
      </c>
      <c r="G3" s="12" t="s">
        <v>35</v>
      </c>
      <c r="H3" s="12" t="s">
        <v>36</v>
      </c>
      <c r="I3" s="11" t="s">
        <v>46</v>
      </c>
      <c r="J3" s="12" t="s">
        <v>47</v>
      </c>
      <c r="K3" s="13" t="s">
        <v>48</v>
      </c>
      <c r="L3" s="11" t="str">
        <f>"000215"</f>
        <v>000215</v>
      </c>
      <c r="M3" s="10">
        <v>42416</v>
      </c>
      <c r="N3" s="11" t="str">
        <f>"000070"</f>
        <v>000070</v>
      </c>
      <c r="O3" s="10">
        <v>42567</v>
      </c>
      <c r="P3" s="11" t="str">
        <f>"000318"</f>
        <v>000318</v>
      </c>
      <c r="Q3" s="10">
        <v>42580</v>
      </c>
      <c r="R3" s="11">
        <v>16</v>
      </c>
      <c r="S3" s="11" t="str">
        <f>"000223"</f>
        <v>000223</v>
      </c>
      <c r="T3" s="10">
        <v>43194</v>
      </c>
      <c r="U3" s="14">
        <v>22.944739999999999</v>
      </c>
      <c r="V3" s="14">
        <v>1.80945</v>
      </c>
      <c r="W3" s="14">
        <v>21.135290000000001</v>
      </c>
      <c r="X3" s="11">
        <v>9</v>
      </c>
      <c r="Y3" s="10">
        <v>43200</v>
      </c>
      <c r="Z3" s="11">
        <v>9448083246</v>
      </c>
      <c r="AA3" s="12" t="s">
        <v>49</v>
      </c>
      <c r="AB3" s="11" t="s">
        <v>41</v>
      </c>
      <c r="AC3" s="12" t="s">
        <v>42</v>
      </c>
      <c r="AD3" s="11" t="s">
        <v>50</v>
      </c>
      <c r="AE3" s="12" t="s">
        <v>51</v>
      </c>
      <c r="AF3" s="14">
        <v>0.2294474</v>
      </c>
      <c r="AG3" s="11" t="s">
        <v>45</v>
      </c>
    </row>
    <row r="4" spans="1:33" x14ac:dyDescent="0.2">
      <c r="A4" s="8">
        <v>327</v>
      </c>
      <c r="B4" s="9" t="s">
        <v>33</v>
      </c>
      <c r="C4" s="10">
        <v>43200</v>
      </c>
      <c r="D4" s="11">
        <v>8</v>
      </c>
      <c r="E4" s="12" t="s">
        <v>34</v>
      </c>
      <c r="F4" s="12" t="s">
        <v>35</v>
      </c>
      <c r="G4" s="12" t="s">
        <v>35</v>
      </c>
      <c r="H4" s="12" t="s">
        <v>36</v>
      </c>
      <c r="I4" s="11" t="s">
        <v>52</v>
      </c>
      <c r="J4" s="12" t="s">
        <v>53</v>
      </c>
      <c r="K4" s="13" t="s">
        <v>48</v>
      </c>
      <c r="L4" s="11" t="str">
        <f>"000333"</f>
        <v>000333</v>
      </c>
      <c r="M4" s="10">
        <v>42453</v>
      </c>
      <c r="N4" s="11" t="str">
        <f>"000080"</f>
        <v>000080</v>
      </c>
      <c r="O4" s="10">
        <v>42579</v>
      </c>
      <c r="P4" s="11" t="str">
        <f>"000363"</f>
        <v>000363</v>
      </c>
      <c r="Q4" s="10">
        <v>42580</v>
      </c>
      <c r="R4" s="11">
        <v>16</v>
      </c>
      <c r="S4" s="11" t="str">
        <f>"000225"</f>
        <v>000225</v>
      </c>
      <c r="T4" s="10">
        <v>43194</v>
      </c>
      <c r="U4" s="14">
        <v>19.73264</v>
      </c>
      <c r="V4" s="14">
        <v>1.57822</v>
      </c>
      <c r="W4" s="14">
        <v>18.154419999999998</v>
      </c>
      <c r="X4" s="11">
        <v>9</v>
      </c>
      <c r="Y4" s="10">
        <v>43200</v>
      </c>
      <c r="Z4" s="11">
        <v>9886731269</v>
      </c>
      <c r="AA4" s="12" t="s">
        <v>54</v>
      </c>
      <c r="AB4" s="11" t="s">
        <v>41</v>
      </c>
      <c r="AC4" s="12" t="s">
        <v>42</v>
      </c>
      <c r="AD4" s="11" t="s">
        <v>50</v>
      </c>
      <c r="AE4" s="12" t="s">
        <v>51</v>
      </c>
      <c r="AF4" s="14">
        <v>0.19732640000000001</v>
      </c>
      <c r="AG4" s="11" t="s">
        <v>45</v>
      </c>
    </row>
    <row r="5" spans="1:33" x14ac:dyDescent="0.2">
      <c r="A5" s="8">
        <v>1084</v>
      </c>
      <c r="B5" s="9" t="s">
        <v>55</v>
      </c>
      <c r="C5" s="10">
        <v>43230</v>
      </c>
      <c r="D5" s="11">
        <v>8</v>
      </c>
      <c r="E5" s="12" t="s">
        <v>34</v>
      </c>
      <c r="F5" s="12" t="s">
        <v>35</v>
      </c>
      <c r="G5" s="12" t="s">
        <v>35</v>
      </c>
      <c r="H5" s="12" t="s">
        <v>36</v>
      </c>
      <c r="I5" s="11" t="s">
        <v>56</v>
      </c>
      <c r="J5" s="12" t="s">
        <v>57</v>
      </c>
      <c r="K5" s="13" t="s">
        <v>48</v>
      </c>
      <c r="L5" s="11" t="str">
        <f>"000295"</f>
        <v>000295</v>
      </c>
      <c r="M5" s="10">
        <v>42448</v>
      </c>
      <c r="N5" s="11" t="str">
        <f>"000200"</f>
        <v>000200</v>
      </c>
      <c r="O5" s="10">
        <v>42689</v>
      </c>
      <c r="P5" s="11" t="str">
        <f>"000663"</f>
        <v>000663</v>
      </c>
      <c r="Q5" s="10">
        <v>42703</v>
      </c>
      <c r="R5" s="11">
        <v>16</v>
      </c>
      <c r="S5" s="11" t="str">
        <f>"001148"</f>
        <v>001148</v>
      </c>
      <c r="T5" s="10">
        <v>43227</v>
      </c>
      <c r="U5" s="14">
        <v>7.6622899999999996</v>
      </c>
      <c r="V5" s="14">
        <v>0.61063999999999996</v>
      </c>
      <c r="W5" s="14">
        <v>7.0516500000000004</v>
      </c>
      <c r="X5" s="11">
        <v>48</v>
      </c>
      <c r="Y5" s="10">
        <v>43230</v>
      </c>
      <c r="Z5" s="11">
        <v>9611343023</v>
      </c>
      <c r="AA5" s="12" t="s">
        <v>58</v>
      </c>
      <c r="AB5" s="11" t="s">
        <v>59</v>
      </c>
      <c r="AC5" s="12" t="s">
        <v>60</v>
      </c>
      <c r="AD5" s="11" t="s">
        <v>50</v>
      </c>
      <c r="AE5" s="12" t="s">
        <v>51</v>
      </c>
      <c r="AF5" s="14">
        <v>7.6622899999999994E-2</v>
      </c>
      <c r="AG5" s="11" t="s">
        <v>45</v>
      </c>
    </row>
    <row r="6" spans="1:33" x14ac:dyDescent="0.2">
      <c r="A6" s="8">
        <v>2200</v>
      </c>
      <c r="B6" s="9" t="s">
        <v>61</v>
      </c>
      <c r="C6" s="10">
        <v>43269</v>
      </c>
      <c r="D6" s="11">
        <v>8</v>
      </c>
      <c r="E6" s="12" t="s">
        <v>34</v>
      </c>
      <c r="F6" s="12" t="s">
        <v>35</v>
      </c>
      <c r="G6" s="12" t="s">
        <v>35</v>
      </c>
      <c r="H6" s="12" t="s">
        <v>36</v>
      </c>
      <c r="I6" s="11" t="s">
        <v>62</v>
      </c>
      <c r="J6" s="12" t="s">
        <v>63</v>
      </c>
      <c r="K6" s="13" t="s">
        <v>39</v>
      </c>
      <c r="L6" s="11" t="str">
        <f>"000244"</f>
        <v>000244</v>
      </c>
      <c r="M6" s="10">
        <v>42426</v>
      </c>
      <c r="N6" s="11" t="str">
        <f>"000141"</f>
        <v>000141</v>
      </c>
      <c r="O6" s="10">
        <v>42639</v>
      </c>
      <c r="P6" s="11" t="str">
        <f>"000513"</f>
        <v>000513</v>
      </c>
      <c r="Q6" s="10">
        <v>42642</v>
      </c>
      <c r="R6" s="11">
        <v>16</v>
      </c>
      <c r="S6" s="11" t="str">
        <f>"002587"</f>
        <v>002587</v>
      </c>
      <c r="T6" s="10">
        <v>43265</v>
      </c>
      <c r="U6" s="14">
        <v>6.4147100000000004</v>
      </c>
      <c r="V6" s="14">
        <v>0.39129999999999998</v>
      </c>
      <c r="W6" s="14">
        <v>6.0234100000000002</v>
      </c>
      <c r="X6" s="11">
        <v>90</v>
      </c>
      <c r="Y6" s="10">
        <v>43269</v>
      </c>
      <c r="Z6" s="11">
        <v>9880197998</v>
      </c>
      <c r="AA6" s="12" t="s">
        <v>64</v>
      </c>
      <c r="AB6" s="11" t="s">
        <v>59</v>
      </c>
      <c r="AC6" s="12" t="s">
        <v>60</v>
      </c>
      <c r="AD6" s="11" t="s">
        <v>50</v>
      </c>
      <c r="AE6" s="12" t="s">
        <v>51</v>
      </c>
      <c r="AF6" s="14">
        <v>6.4147099999999999E-2</v>
      </c>
      <c r="AG6" s="11" t="s">
        <v>45</v>
      </c>
    </row>
    <row r="7" spans="1:33" x14ac:dyDescent="0.2">
      <c r="A7" s="8">
        <v>2201</v>
      </c>
      <c r="B7" s="9" t="s">
        <v>61</v>
      </c>
      <c r="C7" s="10">
        <v>43269</v>
      </c>
      <c r="D7" s="11">
        <v>8</v>
      </c>
      <c r="E7" s="12" t="s">
        <v>34</v>
      </c>
      <c r="F7" s="12" t="s">
        <v>35</v>
      </c>
      <c r="G7" s="12" t="s">
        <v>35</v>
      </c>
      <c r="H7" s="12" t="s">
        <v>36</v>
      </c>
      <c r="I7" s="11" t="s">
        <v>65</v>
      </c>
      <c r="J7" s="12" t="s">
        <v>66</v>
      </c>
      <c r="K7" s="13" t="s">
        <v>67</v>
      </c>
      <c r="L7" s="11" t="str">
        <f>"000271"</f>
        <v>000271</v>
      </c>
      <c r="M7" s="10">
        <v>42678</v>
      </c>
      <c r="N7" s="11" t="str">
        <f>"000167"</f>
        <v>000167</v>
      </c>
      <c r="O7" s="10">
        <v>42642</v>
      </c>
      <c r="P7" s="11" t="str">
        <f>"000534"</f>
        <v>000534</v>
      </c>
      <c r="Q7" s="10">
        <v>42642</v>
      </c>
      <c r="R7" s="11">
        <v>16</v>
      </c>
      <c r="S7" s="11" t="str">
        <f>"002593"</f>
        <v>002593</v>
      </c>
      <c r="T7" s="10">
        <v>43265</v>
      </c>
      <c r="U7" s="14">
        <v>6.4178600000000001</v>
      </c>
      <c r="V7" s="14">
        <v>0.39731</v>
      </c>
      <c r="W7" s="14">
        <v>6.0205500000000001</v>
      </c>
      <c r="X7" s="11">
        <v>90</v>
      </c>
      <c r="Y7" s="10">
        <v>43269</v>
      </c>
      <c r="Z7" s="11">
        <v>9972064959</v>
      </c>
      <c r="AA7" s="12" t="s">
        <v>68</v>
      </c>
      <c r="AB7" s="11" t="s">
        <v>59</v>
      </c>
      <c r="AC7" s="12" t="s">
        <v>60</v>
      </c>
      <c r="AD7" s="11" t="s">
        <v>50</v>
      </c>
      <c r="AE7" s="12" t="s">
        <v>51</v>
      </c>
      <c r="AF7" s="14">
        <v>6.4178600000000002E-2</v>
      </c>
      <c r="AG7" s="11" t="s">
        <v>45</v>
      </c>
    </row>
    <row r="8" spans="1:33" x14ac:dyDescent="0.2">
      <c r="A8" s="8">
        <v>2390</v>
      </c>
      <c r="B8" s="9" t="s">
        <v>61</v>
      </c>
      <c r="C8" s="10">
        <v>43271</v>
      </c>
      <c r="D8" s="11">
        <v>8</v>
      </c>
      <c r="E8" s="12" t="s">
        <v>34</v>
      </c>
      <c r="F8" s="12" t="s">
        <v>35</v>
      </c>
      <c r="G8" s="12" t="s">
        <v>35</v>
      </c>
      <c r="H8" s="12" t="s">
        <v>36</v>
      </c>
      <c r="I8" s="11" t="s">
        <v>69</v>
      </c>
      <c r="J8" s="12" t="s">
        <v>70</v>
      </c>
      <c r="K8" s="13" t="s">
        <v>48</v>
      </c>
      <c r="L8" s="11" t="str">
        <f>"000028"</f>
        <v>000028</v>
      </c>
      <c r="M8" s="10">
        <v>42844</v>
      </c>
      <c r="N8" s="11" t="str">
        <f>"000006"</f>
        <v>000006</v>
      </c>
      <c r="O8" s="10">
        <v>43251</v>
      </c>
      <c r="P8" s="11" t="str">
        <f>"000026"</f>
        <v>000026</v>
      </c>
      <c r="Q8" s="10">
        <v>43258</v>
      </c>
      <c r="R8" s="11">
        <v>17</v>
      </c>
      <c r="S8" s="11" t="str">
        <f>"002672"</f>
        <v>002672</v>
      </c>
      <c r="T8" s="10">
        <v>43269</v>
      </c>
      <c r="U8" s="14">
        <v>38.81485</v>
      </c>
      <c r="V8" s="14">
        <v>3.6660300000000001</v>
      </c>
      <c r="W8" s="14">
        <v>35.148820000000001</v>
      </c>
      <c r="X8" s="11">
        <v>95</v>
      </c>
      <c r="Y8" s="10">
        <v>43271</v>
      </c>
      <c r="Z8" s="11">
        <v>9449863065</v>
      </c>
      <c r="AA8" s="12" t="s">
        <v>71</v>
      </c>
      <c r="AB8" s="11" t="s">
        <v>72</v>
      </c>
      <c r="AC8" s="12" t="s">
        <v>73</v>
      </c>
      <c r="AD8" s="11" t="s">
        <v>50</v>
      </c>
      <c r="AE8" s="12" t="s">
        <v>51</v>
      </c>
      <c r="AF8" s="14">
        <v>0.38814850000000001</v>
      </c>
      <c r="AG8" s="11" t="s">
        <v>74</v>
      </c>
    </row>
    <row r="9" spans="1:33" x14ac:dyDescent="0.2">
      <c r="A9" s="8">
        <v>2461</v>
      </c>
      <c r="B9" s="9" t="s">
        <v>61</v>
      </c>
      <c r="C9" s="10">
        <v>43274</v>
      </c>
      <c r="D9" s="11">
        <v>8</v>
      </c>
      <c r="E9" s="12" t="s">
        <v>34</v>
      </c>
      <c r="F9" s="12" t="s">
        <v>35</v>
      </c>
      <c r="G9" s="12" t="s">
        <v>35</v>
      </c>
      <c r="H9" s="12" t="s">
        <v>36</v>
      </c>
      <c r="I9" s="11" t="s">
        <v>75</v>
      </c>
      <c r="J9" s="12" t="s">
        <v>76</v>
      </c>
      <c r="K9" s="13" t="s">
        <v>48</v>
      </c>
      <c r="L9" s="11" t="str">
        <f>"000334"</f>
        <v>000334</v>
      </c>
      <c r="M9" s="10">
        <v>42453</v>
      </c>
      <c r="N9" s="11" t="str">
        <f>"000166"</f>
        <v>000166</v>
      </c>
      <c r="O9" s="10">
        <v>42642</v>
      </c>
      <c r="P9" s="11" t="str">
        <f>"000539"</f>
        <v>000539</v>
      </c>
      <c r="Q9" s="10">
        <v>42642</v>
      </c>
      <c r="R9" s="11">
        <v>16</v>
      </c>
      <c r="S9" s="11" t="str">
        <f>"002746"</f>
        <v>002746</v>
      </c>
      <c r="T9" s="10">
        <v>43271</v>
      </c>
      <c r="U9" s="14">
        <v>47.785299999999999</v>
      </c>
      <c r="V9" s="14">
        <v>3.8706100000000001</v>
      </c>
      <c r="W9" s="14">
        <v>43.91469</v>
      </c>
      <c r="X9" s="11">
        <v>99</v>
      </c>
      <c r="Y9" s="10">
        <v>43274</v>
      </c>
      <c r="Z9" s="11">
        <v>9900003978</v>
      </c>
      <c r="AA9" s="12" t="s">
        <v>77</v>
      </c>
      <c r="AB9" s="11" t="s">
        <v>41</v>
      </c>
      <c r="AC9" s="12" t="s">
        <v>42</v>
      </c>
      <c r="AD9" s="11" t="s">
        <v>50</v>
      </c>
      <c r="AE9" s="12" t="s">
        <v>51</v>
      </c>
      <c r="AF9" s="14">
        <v>0.47785299999999997</v>
      </c>
      <c r="AG9" s="11" t="s">
        <v>45</v>
      </c>
    </row>
    <row r="10" spans="1:33" x14ac:dyDescent="0.2">
      <c r="A10" s="8">
        <v>2674</v>
      </c>
      <c r="B10" s="9" t="s">
        <v>61</v>
      </c>
      <c r="C10" s="10">
        <v>43278</v>
      </c>
      <c r="D10" s="11">
        <v>8</v>
      </c>
      <c r="E10" s="12" t="s">
        <v>34</v>
      </c>
      <c r="F10" s="12" t="s">
        <v>35</v>
      </c>
      <c r="G10" s="12" t="s">
        <v>35</v>
      </c>
      <c r="H10" s="12" t="s">
        <v>36</v>
      </c>
      <c r="I10" s="11" t="s">
        <v>78</v>
      </c>
      <c r="J10" s="12" t="s">
        <v>79</v>
      </c>
      <c r="K10" s="13" t="s">
        <v>48</v>
      </c>
      <c r="L10" s="11" t="str">
        <f>"000223"</f>
        <v>000223</v>
      </c>
      <c r="M10" s="10">
        <v>42426</v>
      </c>
      <c r="N10" s="11" t="str">
        <f>"000121"</f>
        <v>000121</v>
      </c>
      <c r="O10" s="10">
        <v>42627</v>
      </c>
      <c r="P10" s="11" t="str">
        <f>"000572"</f>
        <v>000572</v>
      </c>
      <c r="Q10" s="10">
        <v>42671</v>
      </c>
      <c r="R10" s="11">
        <v>16</v>
      </c>
      <c r="S10" s="11" t="str">
        <f>"002915"</f>
        <v>002915</v>
      </c>
      <c r="T10" s="10">
        <v>43276</v>
      </c>
      <c r="U10" s="14">
        <v>6.6702500000000002</v>
      </c>
      <c r="V10" s="14">
        <v>0.54029000000000005</v>
      </c>
      <c r="W10" s="14">
        <v>6.1299599999999996</v>
      </c>
      <c r="X10" s="11">
        <v>103</v>
      </c>
      <c r="Y10" s="10">
        <v>43278</v>
      </c>
      <c r="Z10" s="11">
        <v>9886162619</v>
      </c>
      <c r="AA10" s="12" t="s">
        <v>80</v>
      </c>
      <c r="AB10" s="11" t="s">
        <v>59</v>
      </c>
      <c r="AC10" s="12" t="s">
        <v>60</v>
      </c>
      <c r="AD10" s="11" t="s">
        <v>50</v>
      </c>
      <c r="AE10" s="12" t="s">
        <v>51</v>
      </c>
      <c r="AF10" s="14">
        <v>6.6702499999999998E-2</v>
      </c>
      <c r="AG10" s="11" t="s">
        <v>45</v>
      </c>
    </row>
    <row r="11" spans="1:33" x14ac:dyDescent="0.2">
      <c r="A11" s="8">
        <v>2675</v>
      </c>
      <c r="B11" s="9" t="s">
        <v>61</v>
      </c>
      <c r="C11" s="10">
        <v>43278</v>
      </c>
      <c r="D11" s="11">
        <v>8</v>
      </c>
      <c r="E11" s="12" t="s">
        <v>34</v>
      </c>
      <c r="F11" s="12" t="s">
        <v>35</v>
      </c>
      <c r="G11" s="12" t="s">
        <v>35</v>
      </c>
      <c r="H11" s="12" t="s">
        <v>36</v>
      </c>
      <c r="I11" s="11" t="s">
        <v>81</v>
      </c>
      <c r="J11" s="12" t="s">
        <v>82</v>
      </c>
      <c r="K11" s="13" t="s">
        <v>83</v>
      </c>
      <c r="L11" s="11" t="str">
        <f>"000001"</f>
        <v>000001</v>
      </c>
      <c r="M11" s="10">
        <v>41778</v>
      </c>
      <c r="N11" s="11" t="str">
        <f>"000175"</f>
        <v>000175</v>
      </c>
      <c r="O11" s="10">
        <v>42662</v>
      </c>
      <c r="P11" s="11" t="str">
        <f>"000600"</f>
        <v>000600</v>
      </c>
      <c r="Q11" s="10">
        <v>42671</v>
      </c>
      <c r="R11" s="11">
        <v>11</v>
      </c>
      <c r="S11" s="11" t="str">
        <f>"003000"</f>
        <v>003000</v>
      </c>
      <c r="T11" s="10">
        <v>43277</v>
      </c>
      <c r="U11" s="14">
        <v>6.9034800000000001</v>
      </c>
      <c r="V11" s="14">
        <v>0.93110999999999999</v>
      </c>
      <c r="W11" s="14">
        <v>5.9723699999999997</v>
      </c>
      <c r="X11" s="11">
        <v>103</v>
      </c>
      <c r="Y11" s="10">
        <v>43278</v>
      </c>
      <c r="Z11" s="11">
        <v>9972039099</v>
      </c>
      <c r="AA11" s="12" t="s">
        <v>84</v>
      </c>
      <c r="AB11" s="11" t="s">
        <v>59</v>
      </c>
      <c r="AC11" s="12" t="s">
        <v>60</v>
      </c>
      <c r="AD11" s="11" t="s">
        <v>50</v>
      </c>
      <c r="AE11" s="12" t="s">
        <v>51</v>
      </c>
      <c r="AF11" s="14">
        <v>6.9034800000000007E-2</v>
      </c>
      <c r="AG11" s="11" t="s">
        <v>45</v>
      </c>
    </row>
    <row r="12" spans="1:33" x14ac:dyDescent="0.2">
      <c r="A12" s="8">
        <v>2775</v>
      </c>
      <c r="B12" s="9" t="s">
        <v>85</v>
      </c>
      <c r="C12" s="10">
        <v>43283</v>
      </c>
      <c r="D12" s="11">
        <v>8</v>
      </c>
      <c r="E12" s="12" t="s">
        <v>34</v>
      </c>
      <c r="F12" s="12" t="s">
        <v>35</v>
      </c>
      <c r="G12" s="12" t="s">
        <v>35</v>
      </c>
      <c r="H12" s="12" t="s">
        <v>36</v>
      </c>
      <c r="I12" s="11" t="s">
        <v>86</v>
      </c>
      <c r="J12" s="12" t="s">
        <v>87</v>
      </c>
      <c r="K12" s="13" t="s">
        <v>88</v>
      </c>
      <c r="L12" s="11" t="str">
        <f>"000561"</f>
        <v>000561</v>
      </c>
      <c r="M12" s="10">
        <v>41698</v>
      </c>
      <c r="N12" s="11" t="str">
        <f>"000056"</f>
        <v>000056</v>
      </c>
      <c r="O12" s="10">
        <v>42916</v>
      </c>
      <c r="P12" s="11" t="str">
        <f>"000221"</f>
        <v>000221</v>
      </c>
      <c r="Q12" s="10">
        <v>42916</v>
      </c>
      <c r="R12" s="11">
        <v>14</v>
      </c>
      <c r="S12" s="11" t="str">
        <f>"003190"</f>
        <v>003190</v>
      </c>
      <c r="T12" s="10">
        <v>43280</v>
      </c>
      <c r="U12" s="14">
        <v>5.02102</v>
      </c>
      <c r="V12" s="14">
        <v>0.67354000000000003</v>
      </c>
      <c r="W12" s="14">
        <v>4.34748</v>
      </c>
      <c r="X12" s="11">
        <v>107</v>
      </c>
      <c r="Y12" s="10">
        <v>43283</v>
      </c>
      <c r="Z12" s="11">
        <v>9449863065</v>
      </c>
      <c r="AA12" s="12" t="s">
        <v>89</v>
      </c>
      <c r="AB12" s="11" t="s">
        <v>90</v>
      </c>
      <c r="AC12" s="12" t="s">
        <v>91</v>
      </c>
      <c r="AD12" s="11" t="s">
        <v>50</v>
      </c>
      <c r="AE12" s="12" t="s">
        <v>51</v>
      </c>
      <c r="AF12" s="14">
        <v>5.0210200000000003E-2</v>
      </c>
      <c r="AG12" s="11" t="s">
        <v>45</v>
      </c>
    </row>
    <row r="13" spans="1:33" x14ac:dyDescent="0.2">
      <c r="A13" s="8">
        <v>3022</v>
      </c>
      <c r="B13" s="9" t="s">
        <v>85</v>
      </c>
      <c r="C13" s="10">
        <v>43287</v>
      </c>
      <c r="D13" s="11">
        <v>8</v>
      </c>
      <c r="E13" s="12" t="s">
        <v>34</v>
      </c>
      <c r="F13" s="12" t="s">
        <v>35</v>
      </c>
      <c r="G13" s="12" t="s">
        <v>35</v>
      </c>
      <c r="H13" s="12" t="s">
        <v>36</v>
      </c>
      <c r="I13" s="11" t="s">
        <v>92</v>
      </c>
      <c r="J13" s="12" t="s">
        <v>93</v>
      </c>
      <c r="K13" s="13" t="s">
        <v>48</v>
      </c>
      <c r="L13" s="11" t="str">
        <f>"000197"</f>
        <v>000197</v>
      </c>
      <c r="M13" s="10">
        <v>42403</v>
      </c>
      <c r="N13" s="11" t="str">
        <f>"000195"</f>
        <v>000195</v>
      </c>
      <c r="O13" s="10">
        <v>42676</v>
      </c>
      <c r="P13" s="11" t="str">
        <f>"000627"</f>
        <v>000627</v>
      </c>
      <c r="Q13" s="10">
        <v>42702</v>
      </c>
      <c r="R13" s="11">
        <v>16</v>
      </c>
      <c r="S13" s="11" t="str">
        <f>"003229"</f>
        <v>003229</v>
      </c>
      <c r="T13" s="10">
        <v>43283</v>
      </c>
      <c r="U13" s="14">
        <v>47.160029999999999</v>
      </c>
      <c r="V13" s="14">
        <v>3.4841600000000001</v>
      </c>
      <c r="W13" s="14">
        <v>43.675870000000003</v>
      </c>
      <c r="X13" s="11">
        <v>113</v>
      </c>
      <c r="Y13" s="10">
        <v>43287</v>
      </c>
      <c r="Z13" s="11">
        <v>9448123078</v>
      </c>
      <c r="AA13" s="12" t="s">
        <v>94</v>
      </c>
      <c r="AB13" s="11" t="s">
        <v>41</v>
      </c>
      <c r="AC13" s="12" t="s">
        <v>42</v>
      </c>
      <c r="AD13" s="11" t="s">
        <v>50</v>
      </c>
      <c r="AE13" s="12" t="s">
        <v>51</v>
      </c>
      <c r="AF13" s="14">
        <v>0.47160029999999997</v>
      </c>
      <c r="AG13" s="11" t="s">
        <v>45</v>
      </c>
    </row>
    <row r="14" spans="1:33" x14ac:dyDescent="0.2">
      <c r="A14" s="8">
        <v>3023</v>
      </c>
      <c r="B14" s="9" t="s">
        <v>85</v>
      </c>
      <c r="C14" s="10">
        <v>43287</v>
      </c>
      <c r="D14" s="11">
        <v>8</v>
      </c>
      <c r="E14" s="12" t="s">
        <v>34</v>
      </c>
      <c r="F14" s="12" t="s">
        <v>35</v>
      </c>
      <c r="G14" s="12" t="s">
        <v>35</v>
      </c>
      <c r="H14" s="12" t="s">
        <v>36</v>
      </c>
      <c r="I14" s="11" t="s">
        <v>95</v>
      </c>
      <c r="J14" s="12" t="s">
        <v>96</v>
      </c>
      <c r="K14" s="13" t="s">
        <v>48</v>
      </c>
      <c r="L14" s="11" t="str">
        <f>"000196"</f>
        <v>000196</v>
      </c>
      <c r="M14" s="10">
        <v>42403</v>
      </c>
      <c r="N14" s="11" t="str">
        <f>"000194"</f>
        <v>000194</v>
      </c>
      <c r="O14" s="10">
        <v>42676</v>
      </c>
      <c r="P14" s="11" t="str">
        <f>"000628"</f>
        <v>000628</v>
      </c>
      <c r="Q14" s="10">
        <v>42702</v>
      </c>
      <c r="R14" s="11">
        <v>16</v>
      </c>
      <c r="S14" s="11" t="str">
        <f>"003230"</f>
        <v>003230</v>
      </c>
      <c r="T14" s="10">
        <v>43283</v>
      </c>
      <c r="U14" s="14">
        <v>37.57094</v>
      </c>
      <c r="V14" s="14">
        <v>2.8553899999999999</v>
      </c>
      <c r="W14" s="14">
        <v>34.71555</v>
      </c>
      <c r="X14" s="11">
        <v>113</v>
      </c>
      <c r="Y14" s="10">
        <v>43287</v>
      </c>
      <c r="Z14" s="11">
        <v>9341443077</v>
      </c>
      <c r="AA14" s="12" t="s">
        <v>94</v>
      </c>
      <c r="AB14" s="11" t="s">
        <v>41</v>
      </c>
      <c r="AC14" s="12" t="s">
        <v>42</v>
      </c>
      <c r="AD14" s="11" t="s">
        <v>50</v>
      </c>
      <c r="AE14" s="12" t="s">
        <v>51</v>
      </c>
      <c r="AF14" s="14">
        <v>0.37570940000000003</v>
      </c>
      <c r="AG14" s="11" t="s">
        <v>45</v>
      </c>
    </row>
    <row r="15" spans="1:33" x14ac:dyDescent="0.2">
      <c r="A15" s="8">
        <v>3024</v>
      </c>
      <c r="B15" s="9" t="s">
        <v>85</v>
      </c>
      <c r="C15" s="10">
        <v>43287</v>
      </c>
      <c r="D15" s="11">
        <v>8</v>
      </c>
      <c r="E15" s="12" t="s">
        <v>34</v>
      </c>
      <c r="F15" s="12" t="s">
        <v>35</v>
      </c>
      <c r="G15" s="12" t="s">
        <v>35</v>
      </c>
      <c r="H15" s="12" t="s">
        <v>36</v>
      </c>
      <c r="I15" s="11" t="s">
        <v>97</v>
      </c>
      <c r="J15" s="12" t="s">
        <v>98</v>
      </c>
      <c r="K15" s="13" t="s">
        <v>99</v>
      </c>
      <c r="L15" s="11" t="str">
        <f>"000294"</f>
        <v>000294</v>
      </c>
      <c r="M15" s="10">
        <v>42448</v>
      </c>
      <c r="N15" s="11" t="str">
        <f>"000199"</f>
        <v>000199</v>
      </c>
      <c r="O15" s="10">
        <v>42689</v>
      </c>
      <c r="P15" s="11" t="str">
        <f>"000662"</f>
        <v>000662</v>
      </c>
      <c r="Q15" s="10">
        <v>42703</v>
      </c>
      <c r="R15" s="11">
        <v>16</v>
      </c>
      <c r="S15" s="11" t="str">
        <f>"003294"</f>
        <v>003294</v>
      </c>
      <c r="T15" s="10">
        <v>43285</v>
      </c>
      <c r="U15" s="14">
        <v>14.34718</v>
      </c>
      <c r="V15" s="14">
        <v>1.0895900000000001</v>
      </c>
      <c r="W15" s="14">
        <v>13.25759</v>
      </c>
      <c r="X15" s="11">
        <v>113</v>
      </c>
      <c r="Y15" s="10">
        <v>43287</v>
      </c>
      <c r="Z15" s="11">
        <v>9611343023</v>
      </c>
      <c r="AA15" s="12" t="s">
        <v>58</v>
      </c>
      <c r="AB15" s="11" t="s">
        <v>59</v>
      </c>
      <c r="AC15" s="12" t="s">
        <v>60</v>
      </c>
      <c r="AD15" s="11" t="s">
        <v>50</v>
      </c>
      <c r="AE15" s="12" t="s">
        <v>51</v>
      </c>
      <c r="AF15" s="14">
        <v>0.14347180000000001</v>
      </c>
      <c r="AG15" s="11" t="s">
        <v>45</v>
      </c>
    </row>
    <row r="16" spans="1:33" x14ac:dyDescent="0.2">
      <c r="A16" s="8">
        <v>3129</v>
      </c>
      <c r="B16" s="9" t="s">
        <v>85</v>
      </c>
      <c r="C16" s="10">
        <v>43290</v>
      </c>
      <c r="D16" s="11">
        <v>8</v>
      </c>
      <c r="E16" s="12" t="s">
        <v>34</v>
      </c>
      <c r="F16" s="12" t="s">
        <v>35</v>
      </c>
      <c r="G16" s="12" t="s">
        <v>35</v>
      </c>
      <c r="H16" s="12" t="s">
        <v>36</v>
      </c>
      <c r="I16" s="11" t="s">
        <v>100</v>
      </c>
      <c r="J16" s="12" t="s">
        <v>101</v>
      </c>
      <c r="K16" s="13" t="s">
        <v>48</v>
      </c>
      <c r="L16" s="11" t="str">
        <f>"000209"</f>
        <v>000209</v>
      </c>
      <c r="M16" s="10">
        <v>42412</v>
      </c>
      <c r="N16" s="11" t="str">
        <f>"000201"</f>
        <v>000201</v>
      </c>
      <c r="O16" s="10">
        <v>42689</v>
      </c>
      <c r="P16" s="11" t="str">
        <f>"000666"</f>
        <v>000666</v>
      </c>
      <c r="Q16" s="10">
        <v>42703</v>
      </c>
      <c r="R16" s="11">
        <v>16</v>
      </c>
      <c r="S16" s="11" t="str">
        <f>"003383"</f>
        <v>003383</v>
      </c>
      <c r="T16" s="10">
        <v>43288</v>
      </c>
      <c r="U16" s="14">
        <v>21.75713</v>
      </c>
      <c r="V16" s="14">
        <v>2.4723600000000001</v>
      </c>
      <c r="W16" s="14">
        <v>19.284770000000002</v>
      </c>
      <c r="X16" s="11">
        <v>117</v>
      </c>
      <c r="Y16" s="10">
        <v>43290</v>
      </c>
      <c r="Z16" s="11">
        <v>9845182353</v>
      </c>
      <c r="AA16" s="12" t="s">
        <v>102</v>
      </c>
      <c r="AB16" s="11" t="s">
        <v>41</v>
      </c>
      <c r="AC16" s="12" t="s">
        <v>42</v>
      </c>
      <c r="AD16" s="11" t="s">
        <v>50</v>
      </c>
      <c r="AE16" s="12" t="s">
        <v>51</v>
      </c>
      <c r="AF16" s="14">
        <v>0.2175713</v>
      </c>
      <c r="AG16" s="11" t="s">
        <v>45</v>
      </c>
    </row>
    <row r="17" spans="1:33" x14ac:dyDescent="0.2">
      <c r="A17" s="8">
        <v>3130</v>
      </c>
      <c r="B17" s="9" t="s">
        <v>85</v>
      </c>
      <c r="C17" s="10">
        <v>43290</v>
      </c>
      <c r="D17" s="11">
        <v>8</v>
      </c>
      <c r="E17" s="12" t="s">
        <v>34</v>
      </c>
      <c r="F17" s="12" t="s">
        <v>35</v>
      </c>
      <c r="G17" s="12" t="s">
        <v>35</v>
      </c>
      <c r="H17" s="12" t="s">
        <v>36</v>
      </c>
      <c r="I17" s="11" t="s">
        <v>103</v>
      </c>
      <c r="J17" s="12" t="s">
        <v>104</v>
      </c>
      <c r="K17" s="13" t="s">
        <v>48</v>
      </c>
      <c r="L17" s="11" t="str">
        <f>"000021"</f>
        <v>000021</v>
      </c>
      <c r="M17" s="10">
        <v>42114</v>
      </c>
      <c r="N17" s="11" t="str">
        <f>"000213"</f>
        <v>000213</v>
      </c>
      <c r="O17" s="10">
        <v>42698</v>
      </c>
      <c r="P17" s="11" t="str">
        <f>"000723"</f>
        <v>000723</v>
      </c>
      <c r="Q17" s="10">
        <v>42730</v>
      </c>
      <c r="R17" s="11">
        <v>15</v>
      </c>
      <c r="S17" s="11" t="str">
        <f>"003398"</f>
        <v>003398</v>
      </c>
      <c r="T17" s="10">
        <v>43288</v>
      </c>
      <c r="U17" s="14">
        <v>19.419229999999999</v>
      </c>
      <c r="V17" s="14">
        <v>1.50586</v>
      </c>
      <c r="W17" s="14">
        <v>17.91337</v>
      </c>
      <c r="X17" s="11">
        <v>117</v>
      </c>
      <c r="Y17" s="10">
        <v>43290</v>
      </c>
      <c r="Z17" s="11">
        <v>9449721816</v>
      </c>
      <c r="AA17" s="12" t="s">
        <v>105</v>
      </c>
      <c r="AB17" s="11" t="s">
        <v>106</v>
      </c>
      <c r="AC17" s="12" t="s">
        <v>107</v>
      </c>
      <c r="AD17" s="11" t="s">
        <v>50</v>
      </c>
      <c r="AE17" s="12" t="s">
        <v>51</v>
      </c>
      <c r="AF17" s="14">
        <v>0.19419229999999998</v>
      </c>
      <c r="AG17" s="11" t="s">
        <v>45</v>
      </c>
    </row>
    <row r="18" spans="1:33" x14ac:dyDescent="0.2">
      <c r="A18" s="8">
        <v>3131</v>
      </c>
      <c r="B18" s="9" t="s">
        <v>85</v>
      </c>
      <c r="C18" s="10">
        <v>43290</v>
      </c>
      <c r="D18" s="11">
        <v>8</v>
      </c>
      <c r="E18" s="12" t="s">
        <v>34</v>
      </c>
      <c r="F18" s="12" t="s">
        <v>35</v>
      </c>
      <c r="G18" s="12" t="s">
        <v>35</v>
      </c>
      <c r="H18" s="12" t="s">
        <v>36</v>
      </c>
      <c r="I18" s="11" t="s">
        <v>108</v>
      </c>
      <c r="J18" s="12" t="s">
        <v>109</v>
      </c>
      <c r="K18" s="13" t="s">
        <v>83</v>
      </c>
      <c r="L18" s="11" t="str">
        <f>"000240"</f>
        <v>000240</v>
      </c>
      <c r="M18" s="10">
        <v>42426</v>
      </c>
      <c r="N18" s="11" t="str">
        <f>"000204"</f>
        <v>000204</v>
      </c>
      <c r="O18" s="10">
        <v>42695</v>
      </c>
      <c r="P18" s="11" t="str">
        <f>"000724"</f>
        <v>000724</v>
      </c>
      <c r="Q18" s="10">
        <v>42730</v>
      </c>
      <c r="R18" s="11">
        <v>16</v>
      </c>
      <c r="S18" s="11" t="str">
        <f>"003399"</f>
        <v>003399</v>
      </c>
      <c r="T18" s="10">
        <v>43288</v>
      </c>
      <c r="U18" s="14">
        <v>18.40062</v>
      </c>
      <c r="V18" s="14">
        <v>1.42845</v>
      </c>
      <c r="W18" s="14">
        <v>16.972169999999998</v>
      </c>
      <c r="X18" s="11">
        <v>117</v>
      </c>
      <c r="Y18" s="10">
        <v>43290</v>
      </c>
      <c r="Z18" s="11">
        <v>9731015055</v>
      </c>
      <c r="AA18" s="12" t="s">
        <v>110</v>
      </c>
      <c r="AB18" s="11" t="s">
        <v>59</v>
      </c>
      <c r="AC18" s="12" t="s">
        <v>60</v>
      </c>
      <c r="AD18" s="11" t="s">
        <v>50</v>
      </c>
      <c r="AE18" s="12" t="s">
        <v>51</v>
      </c>
      <c r="AF18" s="14">
        <v>0.18400620000000001</v>
      </c>
      <c r="AG18" s="11" t="s">
        <v>45</v>
      </c>
    </row>
    <row r="19" spans="1:33" x14ac:dyDescent="0.2">
      <c r="A19" s="8">
        <v>3132</v>
      </c>
      <c r="B19" s="9" t="s">
        <v>85</v>
      </c>
      <c r="C19" s="10">
        <v>43290</v>
      </c>
      <c r="D19" s="11">
        <v>8</v>
      </c>
      <c r="E19" s="12" t="s">
        <v>34</v>
      </c>
      <c r="F19" s="12" t="s">
        <v>35</v>
      </c>
      <c r="G19" s="12" t="s">
        <v>35</v>
      </c>
      <c r="H19" s="12" t="s">
        <v>36</v>
      </c>
      <c r="I19" s="11" t="s">
        <v>111</v>
      </c>
      <c r="J19" s="12" t="s">
        <v>112</v>
      </c>
      <c r="K19" s="13" t="s">
        <v>83</v>
      </c>
      <c r="L19" s="11" t="str">
        <f>"000023"</f>
        <v>000023</v>
      </c>
      <c r="M19" s="10">
        <v>42114</v>
      </c>
      <c r="N19" s="11" t="str">
        <f>"000202"</f>
        <v>000202</v>
      </c>
      <c r="O19" s="10">
        <v>42690</v>
      </c>
      <c r="P19" s="11" t="str">
        <f>"000742"</f>
        <v>000742</v>
      </c>
      <c r="Q19" s="10">
        <v>42733</v>
      </c>
      <c r="R19" s="11">
        <v>15</v>
      </c>
      <c r="S19" s="11" t="str">
        <f>"003421"</f>
        <v>003421</v>
      </c>
      <c r="T19" s="10">
        <v>43288</v>
      </c>
      <c r="U19" s="14">
        <v>9.7452299999999994</v>
      </c>
      <c r="V19" s="14">
        <v>0.82154000000000005</v>
      </c>
      <c r="W19" s="14">
        <v>8.9236900000000006</v>
      </c>
      <c r="X19" s="11">
        <v>117</v>
      </c>
      <c r="Y19" s="10">
        <v>43290</v>
      </c>
      <c r="Z19" s="11">
        <v>9844726399</v>
      </c>
      <c r="AA19" s="12" t="s">
        <v>113</v>
      </c>
      <c r="AB19" s="11" t="s">
        <v>114</v>
      </c>
      <c r="AC19" s="12" t="s">
        <v>115</v>
      </c>
      <c r="AD19" s="11" t="s">
        <v>50</v>
      </c>
      <c r="AE19" s="12" t="s">
        <v>51</v>
      </c>
      <c r="AF19" s="14">
        <v>9.7452299999999992E-2</v>
      </c>
      <c r="AG19" s="11" t="s">
        <v>45</v>
      </c>
    </row>
    <row r="20" spans="1:33" x14ac:dyDescent="0.2">
      <c r="A20" s="8">
        <v>3133</v>
      </c>
      <c r="B20" s="9" t="s">
        <v>85</v>
      </c>
      <c r="C20" s="10">
        <v>43290</v>
      </c>
      <c r="D20" s="11">
        <v>8</v>
      </c>
      <c r="E20" s="12" t="s">
        <v>34</v>
      </c>
      <c r="F20" s="12" t="s">
        <v>35</v>
      </c>
      <c r="G20" s="12" t="s">
        <v>35</v>
      </c>
      <c r="H20" s="12" t="s">
        <v>36</v>
      </c>
      <c r="I20" s="11" t="s">
        <v>116</v>
      </c>
      <c r="J20" s="12" t="s">
        <v>117</v>
      </c>
      <c r="K20" s="13" t="s">
        <v>83</v>
      </c>
      <c r="L20" s="11" t="str">
        <f>"000024"</f>
        <v>000024</v>
      </c>
      <c r="M20" s="10">
        <v>42114</v>
      </c>
      <c r="N20" s="11" t="str">
        <f>"000203"</f>
        <v>000203</v>
      </c>
      <c r="O20" s="10">
        <v>42690</v>
      </c>
      <c r="P20" s="11" t="str">
        <f>"000743"</f>
        <v>000743</v>
      </c>
      <c r="Q20" s="10">
        <v>42733</v>
      </c>
      <c r="R20" s="11">
        <v>15</v>
      </c>
      <c r="S20" s="11" t="str">
        <f>"003422"</f>
        <v>003422</v>
      </c>
      <c r="T20" s="10">
        <v>43288</v>
      </c>
      <c r="U20" s="14">
        <v>9.7697099999999999</v>
      </c>
      <c r="V20" s="14">
        <v>0.82350999999999996</v>
      </c>
      <c r="W20" s="14">
        <v>8.9461999999999993</v>
      </c>
      <c r="X20" s="11">
        <v>117</v>
      </c>
      <c r="Y20" s="10">
        <v>43290</v>
      </c>
      <c r="Z20" s="11">
        <v>9844726399</v>
      </c>
      <c r="AA20" s="12" t="s">
        <v>113</v>
      </c>
      <c r="AB20" s="11" t="s">
        <v>114</v>
      </c>
      <c r="AC20" s="12" t="s">
        <v>115</v>
      </c>
      <c r="AD20" s="11" t="s">
        <v>50</v>
      </c>
      <c r="AE20" s="12" t="s">
        <v>51</v>
      </c>
      <c r="AF20" s="14">
        <v>9.7697099999999995E-2</v>
      </c>
      <c r="AG20" s="11" t="s">
        <v>45</v>
      </c>
    </row>
    <row r="21" spans="1:33" x14ac:dyDescent="0.2">
      <c r="A21" s="8">
        <v>3134</v>
      </c>
      <c r="B21" s="9" t="s">
        <v>85</v>
      </c>
      <c r="C21" s="10">
        <v>43290</v>
      </c>
      <c r="D21" s="11">
        <v>8</v>
      </c>
      <c r="E21" s="12" t="s">
        <v>34</v>
      </c>
      <c r="F21" s="12" t="s">
        <v>35</v>
      </c>
      <c r="G21" s="12" t="s">
        <v>35</v>
      </c>
      <c r="H21" s="12" t="s">
        <v>36</v>
      </c>
      <c r="I21" s="11" t="s">
        <v>118</v>
      </c>
      <c r="J21" s="12" t="s">
        <v>119</v>
      </c>
      <c r="K21" s="13" t="s">
        <v>48</v>
      </c>
      <c r="L21" s="11" t="str">
        <f>"000002"</f>
        <v>000002</v>
      </c>
      <c r="M21" s="10">
        <v>42481</v>
      </c>
      <c r="N21" s="11" t="str">
        <f>"000214"</f>
        <v>000214</v>
      </c>
      <c r="O21" s="10">
        <v>42709</v>
      </c>
      <c r="P21" s="11" t="str">
        <f>"000744"</f>
        <v>000744</v>
      </c>
      <c r="Q21" s="10">
        <v>42733</v>
      </c>
      <c r="R21" s="11">
        <v>15</v>
      </c>
      <c r="S21" s="11" t="str">
        <f>"003424"</f>
        <v>003424</v>
      </c>
      <c r="T21" s="10">
        <v>43288</v>
      </c>
      <c r="U21" s="14">
        <v>44.79027</v>
      </c>
      <c r="V21" s="14">
        <v>3.4040499999999998</v>
      </c>
      <c r="W21" s="14">
        <v>41.386220000000002</v>
      </c>
      <c r="X21" s="11">
        <v>117</v>
      </c>
      <c r="Y21" s="10">
        <v>43290</v>
      </c>
      <c r="Z21" s="11">
        <v>9448123078</v>
      </c>
      <c r="AA21" s="12" t="s">
        <v>94</v>
      </c>
      <c r="AB21" s="11" t="s">
        <v>120</v>
      </c>
      <c r="AC21" s="12" t="s">
        <v>121</v>
      </c>
      <c r="AD21" s="11" t="s">
        <v>50</v>
      </c>
      <c r="AE21" s="12" t="s">
        <v>51</v>
      </c>
      <c r="AF21" s="14">
        <v>0.44790269999999999</v>
      </c>
      <c r="AG21" s="11" t="s">
        <v>45</v>
      </c>
    </row>
    <row r="22" spans="1:33" x14ac:dyDescent="0.2">
      <c r="A22" s="8">
        <v>3396</v>
      </c>
      <c r="B22" s="9" t="s">
        <v>85</v>
      </c>
      <c r="C22" s="10">
        <v>43299</v>
      </c>
      <c r="D22" s="11">
        <v>8</v>
      </c>
      <c r="E22" s="12" t="s">
        <v>34</v>
      </c>
      <c r="F22" s="12" t="s">
        <v>35</v>
      </c>
      <c r="G22" s="12" t="s">
        <v>35</v>
      </c>
      <c r="H22" s="12" t="s">
        <v>36</v>
      </c>
      <c r="I22" s="11" t="s">
        <v>122</v>
      </c>
      <c r="J22" s="12" t="s">
        <v>123</v>
      </c>
      <c r="K22" s="13" t="s">
        <v>99</v>
      </c>
      <c r="L22" s="11" t="str">
        <f>"000567"</f>
        <v>000567</v>
      </c>
      <c r="M22" s="10">
        <v>41698</v>
      </c>
      <c r="N22" s="11" t="str">
        <f>"000055"</f>
        <v>000055</v>
      </c>
      <c r="O22" s="10">
        <v>42916</v>
      </c>
      <c r="P22" s="11" t="str">
        <f>"000220"</f>
        <v>000220</v>
      </c>
      <c r="Q22" s="10">
        <v>42916</v>
      </c>
      <c r="R22" s="11">
        <v>14</v>
      </c>
      <c r="S22" s="11" t="str">
        <f>"003795"</f>
        <v>003795</v>
      </c>
      <c r="T22" s="10">
        <v>43294</v>
      </c>
      <c r="U22" s="14">
        <v>4.28146</v>
      </c>
      <c r="V22" s="14">
        <v>0.56155999999999995</v>
      </c>
      <c r="W22" s="14">
        <v>3.7199</v>
      </c>
      <c r="X22" s="11">
        <v>129</v>
      </c>
      <c r="Y22" s="10">
        <v>43299</v>
      </c>
      <c r="Z22" s="11">
        <v>9449863065</v>
      </c>
      <c r="AA22" s="12" t="s">
        <v>89</v>
      </c>
      <c r="AB22" s="11" t="s">
        <v>90</v>
      </c>
      <c r="AC22" s="12" t="s">
        <v>91</v>
      </c>
      <c r="AD22" s="11" t="s">
        <v>50</v>
      </c>
      <c r="AE22" s="12" t="s">
        <v>51</v>
      </c>
      <c r="AF22" s="14">
        <v>4.2814600000000001E-2</v>
      </c>
      <c r="AG22" s="11" t="s">
        <v>45</v>
      </c>
    </row>
    <row r="23" spans="1:33" x14ac:dyDescent="0.2">
      <c r="A23" s="8">
        <v>3397</v>
      </c>
      <c r="B23" s="9" t="s">
        <v>85</v>
      </c>
      <c r="C23" s="10">
        <v>43299</v>
      </c>
      <c r="D23" s="11">
        <v>8</v>
      </c>
      <c r="E23" s="12" t="s">
        <v>34</v>
      </c>
      <c r="F23" s="12" t="s">
        <v>35</v>
      </c>
      <c r="G23" s="12" t="s">
        <v>35</v>
      </c>
      <c r="H23" s="12" t="s">
        <v>36</v>
      </c>
      <c r="I23" s="11" t="s">
        <v>124</v>
      </c>
      <c r="J23" s="12" t="s">
        <v>125</v>
      </c>
      <c r="K23" s="13" t="s">
        <v>99</v>
      </c>
      <c r="L23" s="11" t="str">
        <f>"000568"</f>
        <v>000568</v>
      </c>
      <c r="M23" s="10">
        <v>41698</v>
      </c>
      <c r="N23" s="11" t="str">
        <f>"000079"</f>
        <v>000079</v>
      </c>
      <c r="O23" s="10">
        <v>42916</v>
      </c>
      <c r="P23" s="11" t="str">
        <f>"000225"</f>
        <v>000225</v>
      </c>
      <c r="Q23" s="10">
        <v>42916</v>
      </c>
      <c r="R23" s="11">
        <v>14</v>
      </c>
      <c r="S23" s="11" t="str">
        <f>"003796"</f>
        <v>003796</v>
      </c>
      <c r="T23" s="10">
        <v>43294</v>
      </c>
      <c r="U23" s="14">
        <v>4.9058999999999999</v>
      </c>
      <c r="V23" s="14">
        <v>0.64763000000000004</v>
      </c>
      <c r="W23" s="14">
        <v>4.2582700000000004</v>
      </c>
      <c r="X23" s="11">
        <v>129</v>
      </c>
      <c r="Y23" s="10">
        <v>43299</v>
      </c>
      <c r="Z23" s="11">
        <v>9449863065</v>
      </c>
      <c r="AA23" s="12" t="s">
        <v>89</v>
      </c>
      <c r="AB23" s="11" t="s">
        <v>90</v>
      </c>
      <c r="AC23" s="12" t="s">
        <v>91</v>
      </c>
      <c r="AD23" s="11" t="s">
        <v>50</v>
      </c>
      <c r="AE23" s="12" t="s">
        <v>51</v>
      </c>
      <c r="AF23" s="14">
        <v>4.9058999999999998E-2</v>
      </c>
      <c r="AG23" s="11" t="s">
        <v>45</v>
      </c>
    </row>
    <row r="24" spans="1:33" x14ac:dyDescent="0.2">
      <c r="A24" s="8">
        <v>4064</v>
      </c>
      <c r="B24" s="9" t="s">
        <v>85</v>
      </c>
      <c r="C24" s="10">
        <v>43308</v>
      </c>
      <c r="D24" s="11">
        <v>8</v>
      </c>
      <c r="E24" s="12" t="s">
        <v>34</v>
      </c>
      <c r="F24" s="12" t="s">
        <v>35</v>
      </c>
      <c r="G24" s="12" t="s">
        <v>35</v>
      </c>
      <c r="H24" s="12" t="s">
        <v>36</v>
      </c>
      <c r="I24" s="11" t="s">
        <v>126</v>
      </c>
      <c r="J24" s="12" t="s">
        <v>127</v>
      </c>
      <c r="K24" s="13" t="s">
        <v>83</v>
      </c>
      <c r="L24" s="11" t="str">
        <f>"000030"</f>
        <v>000030</v>
      </c>
      <c r="M24" s="10">
        <v>42760</v>
      </c>
      <c r="N24" s="11" t="str">
        <f>"000043"</f>
        <v>000043</v>
      </c>
      <c r="O24" s="10">
        <v>43140</v>
      </c>
      <c r="P24" s="11" t="str">
        <f>"000044"</f>
        <v>000044</v>
      </c>
      <c r="Q24" s="10">
        <v>43175</v>
      </c>
      <c r="R24" s="11">
        <v>16</v>
      </c>
      <c r="S24" s="11" t="str">
        <f>"004303"</f>
        <v>004303</v>
      </c>
      <c r="T24" s="10">
        <v>43306</v>
      </c>
      <c r="U24" s="14">
        <v>2.97404</v>
      </c>
      <c r="V24" s="14">
        <v>0.22441</v>
      </c>
      <c r="W24" s="14">
        <v>2.7496299999999998</v>
      </c>
      <c r="X24" s="11">
        <v>146</v>
      </c>
      <c r="Y24" s="10">
        <v>43308</v>
      </c>
      <c r="Z24" s="11">
        <v>9845361818</v>
      </c>
      <c r="AA24" s="12" t="s">
        <v>128</v>
      </c>
      <c r="AB24" s="11" t="s">
        <v>129</v>
      </c>
      <c r="AC24" s="12" t="s">
        <v>130</v>
      </c>
      <c r="AD24" s="11" t="s">
        <v>43</v>
      </c>
      <c r="AE24" s="12" t="s">
        <v>44</v>
      </c>
      <c r="AF24" s="14">
        <v>2.97404E-2</v>
      </c>
      <c r="AG24" s="11" t="s">
        <v>45</v>
      </c>
    </row>
    <row r="25" spans="1:33" x14ac:dyDescent="0.2">
      <c r="A25" s="8">
        <v>4065</v>
      </c>
      <c r="B25" s="9" t="s">
        <v>85</v>
      </c>
      <c r="C25" s="10">
        <v>43308</v>
      </c>
      <c r="D25" s="11">
        <v>8</v>
      </c>
      <c r="E25" s="12" t="s">
        <v>34</v>
      </c>
      <c r="F25" s="12" t="s">
        <v>35</v>
      </c>
      <c r="G25" s="12" t="s">
        <v>35</v>
      </c>
      <c r="H25" s="12" t="s">
        <v>36</v>
      </c>
      <c r="I25" s="11" t="s">
        <v>126</v>
      </c>
      <c r="J25" s="12" t="s">
        <v>127</v>
      </c>
      <c r="K25" s="13" t="s">
        <v>83</v>
      </c>
      <c r="L25" s="11" t="str">
        <f>"000030"</f>
        <v>000030</v>
      </c>
      <c r="M25" s="10">
        <v>42760</v>
      </c>
      <c r="N25" s="11" t="str">
        <f>"000043"</f>
        <v>000043</v>
      </c>
      <c r="O25" s="10">
        <v>43140</v>
      </c>
      <c r="P25" s="11" t="str">
        <f>"000044"</f>
        <v>000044</v>
      </c>
      <c r="Q25" s="10">
        <v>43175</v>
      </c>
      <c r="R25" s="11">
        <v>16</v>
      </c>
      <c r="S25" s="11" t="str">
        <f>"004303"</f>
        <v>004303</v>
      </c>
      <c r="T25" s="10">
        <v>43306</v>
      </c>
      <c r="U25" s="14">
        <v>7.4350899999999998</v>
      </c>
      <c r="V25" s="14">
        <v>0.51254</v>
      </c>
      <c r="W25" s="14">
        <v>6.9225500000000002</v>
      </c>
      <c r="X25" s="11">
        <v>146</v>
      </c>
      <c r="Y25" s="10">
        <v>43308</v>
      </c>
      <c r="Z25" s="11">
        <v>9845361818</v>
      </c>
      <c r="AA25" s="12" t="s">
        <v>128</v>
      </c>
      <c r="AB25" s="11" t="s">
        <v>129</v>
      </c>
      <c r="AC25" s="12" t="s">
        <v>130</v>
      </c>
      <c r="AD25" s="11" t="s">
        <v>43</v>
      </c>
      <c r="AE25" s="12" t="s">
        <v>44</v>
      </c>
      <c r="AF25" s="14">
        <v>7.4350899999999998E-2</v>
      </c>
      <c r="AG25" s="11" t="s">
        <v>45</v>
      </c>
    </row>
    <row r="26" spans="1:33" x14ac:dyDescent="0.2">
      <c r="A26" s="8">
        <v>4252</v>
      </c>
      <c r="B26" s="9" t="s">
        <v>131</v>
      </c>
      <c r="C26" s="10">
        <v>43315</v>
      </c>
      <c r="D26" s="11">
        <v>8</v>
      </c>
      <c r="E26" s="12" t="s">
        <v>34</v>
      </c>
      <c r="F26" s="12" t="s">
        <v>35</v>
      </c>
      <c r="G26" s="12" t="s">
        <v>35</v>
      </c>
      <c r="H26" s="12" t="s">
        <v>36</v>
      </c>
      <c r="I26" s="11" t="s">
        <v>132</v>
      </c>
      <c r="J26" s="12" t="s">
        <v>133</v>
      </c>
      <c r="K26" s="13" t="s">
        <v>48</v>
      </c>
      <c r="L26" s="11" t="str">
        <f>"000068"</f>
        <v>000068</v>
      </c>
      <c r="M26" s="10">
        <v>42571</v>
      </c>
      <c r="N26" s="11" t="str">
        <f>"000224"</f>
        <v>000224</v>
      </c>
      <c r="O26" s="10">
        <v>42745</v>
      </c>
      <c r="P26" s="11" t="str">
        <f>"000776"</f>
        <v>000776</v>
      </c>
      <c r="Q26" s="10">
        <v>42765</v>
      </c>
      <c r="R26" s="11">
        <v>16</v>
      </c>
      <c r="S26" s="11" t="str">
        <f>"004509"</f>
        <v>004509</v>
      </c>
      <c r="T26" s="10">
        <v>43308</v>
      </c>
      <c r="U26" s="14">
        <v>57.202730000000003</v>
      </c>
      <c r="V26" s="14">
        <v>4.1546000000000003</v>
      </c>
      <c r="W26" s="14">
        <v>53.04813</v>
      </c>
      <c r="X26" s="11">
        <v>152</v>
      </c>
      <c r="Y26" s="10">
        <v>43315</v>
      </c>
      <c r="Z26" s="11">
        <v>9448474434</v>
      </c>
      <c r="AA26" s="12" t="s">
        <v>134</v>
      </c>
      <c r="AB26" s="11" t="s">
        <v>41</v>
      </c>
      <c r="AC26" s="12" t="s">
        <v>42</v>
      </c>
      <c r="AD26" s="11" t="s">
        <v>50</v>
      </c>
      <c r="AE26" s="12" t="s">
        <v>51</v>
      </c>
      <c r="AF26" s="14">
        <v>0.57202730000000002</v>
      </c>
      <c r="AG26" s="11" t="s">
        <v>45</v>
      </c>
    </row>
    <row r="27" spans="1:33" x14ac:dyDescent="0.2">
      <c r="A27" s="8">
        <v>4358</v>
      </c>
      <c r="B27" s="9" t="s">
        <v>131</v>
      </c>
      <c r="C27" s="10">
        <v>43318</v>
      </c>
      <c r="D27" s="11">
        <v>8</v>
      </c>
      <c r="E27" s="12" t="s">
        <v>34</v>
      </c>
      <c r="F27" s="12" t="s">
        <v>35</v>
      </c>
      <c r="G27" s="12" t="s">
        <v>35</v>
      </c>
      <c r="H27" s="12" t="s">
        <v>36</v>
      </c>
      <c r="I27" s="11" t="s">
        <v>135</v>
      </c>
      <c r="J27" s="12" t="s">
        <v>136</v>
      </c>
      <c r="K27" s="13" t="s">
        <v>88</v>
      </c>
      <c r="L27" s="11" t="str">
        <f>"000565"</f>
        <v>000565</v>
      </c>
      <c r="M27" s="10">
        <v>41698</v>
      </c>
      <c r="N27" s="11" t="str">
        <f>"000054"</f>
        <v>000054</v>
      </c>
      <c r="O27" s="10">
        <v>42916</v>
      </c>
      <c r="P27" s="11" t="str">
        <f>"00222 "</f>
        <v xml:space="preserve">00222 </v>
      </c>
      <c r="Q27" s="10">
        <v>42916</v>
      </c>
      <c r="R27" s="11">
        <v>14</v>
      </c>
      <c r="S27" s="11" t="str">
        <f>"004749"</f>
        <v>004749</v>
      </c>
      <c r="T27" s="10">
        <v>43314</v>
      </c>
      <c r="U27" s="14">
        <v>4.9059299999999997</v>
      </c>
      <c r="V27" s="14">
        <v>0.64763000000000004</v>
      </c>
      <c r="W27" s="14">
        <v>4.2583000000000002</v>
      </c>
      <c r="X27" s="11">
        <v>160</v>
      </c>
      <c r="Y27" s="10">
        <v>43318</v>
      </c>
      <c r="Z27" s="11">
        <v>9449863065</v>
      </c>
      <c r="AA27" s="12" t="s">
        <v>89</v>
      </c>
      <c r="AB27" s="11" t="s">
        <v>90</v>
      </c>
      <c r="AC27" s="12" t="s">
        <v>91</v>
      </c>
      <c r="AD27" s="11" t="s">
        <v>50</v>
      </c>
      <c r="AE27" s="12" t="s">
        <v>51</v>
      </c>
      <c r="AF27" s="14">
        <v>4.90593E-2</v>
      </c>
      <c r="AG27" s="11" t="s">
        <v>45</v>
      </c>
    </row>
    <row r="28" spans="1:33" x14ac:dyDescent="0.2">
      <c r="A28" s="8">
        <v>4359</v>
      </c>
      <c r="B28" s="9" t="s">
        <v>131</v>
      </c>
      <c r="C28" s="10">
        <v>43318</v>
      </c>
      <c r="D28" s="11">
        <v>8</v>
      </c>
      <c r="E28" s="12" t="s">
        <v>34</v>
      </c>
      <c r="F28" s="12" t="s">
        <v>35</v>
      </c>
      <c r="G28" s="12" t="s">
        <v>35</v>
      </c>
      <c r="H28" s="12" t="s">
        <v>36</v>
      </c>
      <c r="I28" s="11" t="s">
        <v>137</v>
      </c>
      <c r="J28" s="12" t="s">
        <v>138</v>
      </c>
      <c r="K28" s="13" t="s">
        <v>139</v>
      </c>
      <c r="L28" s="11" t="str">
        <f>"00169 "</f>
        <v xml:space="preserve">00169 </v>
      </c>
      <c r="M28" s="10">
        <v>42744</v>
      </c>
      <c r="N28" s="11" t="str">
        <f>"000010"</f>
        <v>000010</v>
      </c>
      <c r="O28" s="10">
        <v>43004</v>
      </c>
      <c r="P28" s="11" t="str">
        <f>"000031"</f>
        <v>000031</v>
      </c>
      <c r="Q28" s="10">
        <v>43006</v>
      </c>
      <c r="R28" s="11">
        <v>16</v>
      </c>
      <c r="S28" s="11" t="str">
        <f>"004844"</f>
        <v>004844</v>
      </c>
      <c r="T28" s="10">
        <v>43315</v>
      </c>
      <c r="U28" s="14">
        <v>15.416130000000001</v>
      </c>
      <c r="V28" s="14">
        <v>0.67830999999999997</v>
      </c>
      <c r="W28" s="14">
        <v>14.737819999999999</v>
      </c>
      <c r="X28" s="11">
        <v>160</v>
      </c>
      <c r="Y28" s="10">
        <v>43318</v>
      </c>
      <c r="Z28" s="11">
        <v>9449109576</v>
      </c>
      <c r="AA28" s="12" t="s">
        <v>140</v>
      </c>
      <c r="AB28" s="11" t="s">
        <v>90</v>
      </c>
      <c r="AC28" s="12" t="s">
        <v>91</v>
      </c>
      <c r="AD28" s="11" t="s">
        <v>50</v>
      </c>
      <c r="AE28" s="12" t="s">
        <v>51</v>
      </c>
      <c r="AF28" s="14">
        <v>0.1541613</v>
      </c>
      <c r="AG28" s="11" t="s">
        <v>45</v>
      </c>
    </row>
    <row r="29" spans="1:33" x14ac:dyDescent="0.2">
      <c r="A29" s="8">
        <v>4719</v>
      </c>
      <c r="B29" s="9" t="s">
        <v>131</v>
      </c>
      <c r="C29" s="10">
        <v>43326</v>
      </c>
      <c r="D29" s="11">
        <v>8</v>
      </c>
      <c r="E29" s="12" t="s">
        <v>34</v>
      </c>
      <c r="F29" s="12" t="s">
        <v>35</v>
      </c>
      <c r="G29" s="12" t="s">
        <v>35</v>
      </c>
      <c r="H29" s="12" t="s">
        <v>36</v>
      </c>
      <c r="I29" s="11" t="s">
        <v>141</v>
      </c>
      <c r="J29" s="12" t="s">
        <v>142</v>
      </c>
      <c r="K29" s="13" t="s">
        <v>39</v>
      </c>
      <c r="L29" s="11" t="str">
        <f>"00110 "</f>
        <v xml:space="preserve">00110 </v>
      </c>
      <c r="M29" s="10">
        <v>42604</v>
      </c>
      <c r="N29" s="11" t="str">
        <f>"000173"</f>
        <v>000173</v>
      </c>
      <c r="O29" s="10">
        <v>42662</v>
      </c>
      <c r="P29" s="11" t="str">
        <f>"000816"</f>
        <v>000816</v>
      </c>
      <c r="Q29" s="10">
        <v>42783</v>
      </c>
      <c r="R29" s="11">
        <v>16</v>
      </c>
      <c r="S29" s="11" t="str">
        <f>"004936"</f>
        <v>004936</v>
      </c>
      <c r="T29" s="10">
        <v>43318</v>
      </c>
      <c r="U29" s="14">
        <v>4.1717700000000004</v>
      </c>
      <c r="V29" s="14">
        <v>0.25923000000000002</v>
      </c>
      <c r="W29" s="14">
        <v>3.9125399999999999</v>
      </c>
      <c r="X29" s="11">
        <v>170</v>
      </c>
      <c r="Y29" s="10">
        <v>43326</v>
      </c>
      <c r="Z29" s="11">
        <v>9611343023</v>
      </c>
      <c r="AA29" s="12" t="s">
        <v>58</v>
      </c>
      <c r="AB29" s="11" t="s">
        <v>59</v>
      </c>
      <c r="AC29" s="12" t="s">
        <v>60</v>
      </c>
      <c r="AD29" s="11" t="s">
        <v>50</v>
      </c>
      <c r="AE29" s="12" t="s">
        <v>51</v>
      </c>
      <c r="AF29" s="14">
        <v>4.1717700000000003E-2</v>
      </c>
      <c r="AG29" s="11" t="s">
        <v>45</v>
      </c>
    </row>
    <row r="30" spans="1:33" x14ac:dyDescent="0.2">
      <c r="A30" s="8">
        <v>4720</v>
      </c>
      <c r="B30" s="9" t="s">
        <v>131</v>
      </c>
      <c r="C30" s="10">
        <v>43326</v>
      </c>
      <c r="D30" s="11">
        <v>8</v>
      </c>
      <c r="E30" s="12" t="s">
        <v>34</v>
      </c>
      <c r="F30" s="12" t="s">
        <v>35</v>
      </c>
      <c r="G30" s="12" t="s">
        <v>35</v>
      </c>
      <c r="H30" s="12" t="s">
        <v>36</v>
      </c>
      <c r="I30" s="11" t="s">
        <v>143</v>
      </c>
      <c r="J30" s="12" t="s">
        <v>144</v>
      </c>
      <c r="K30" s="13" t="s">
        <v>88</v>
      </c>
      <c r="L30" s="11" t="str">
        <f>"000189"</f>
        <v>000189</v>
      </c>
      <c r="M30" s="10">
        <v>42802</v>
      </c>
      <c r="N30" s="11" t="str">
        <f>"000015"</f>
        <v>000015</v>
      </c>
      <c r="O30" s="10">
        <v>43036</v>
      </c>
      <c r="P30" s="11" t="str">
        <f>"000037"</f>
        <v>000037</v>
      </c>
      <c r="Q30" s="10">
        <v>43038</v>
      </c>
      <c r="R30" s="11">
        <v>17</v>
      </c>
      <c r="S30" s="11" t="str">
        <f>"005084"</f>
        <v>005084</v>
      </c>
      <c r="T30" s="10">
        <v>43322</v>
      </c>
      <c r="U30" s="14">
        <v>3.76545</v>
      </c>
      <c r="V30" s="14">
        <v>0.22969000000000001</v>
      </c>
      <c r="W30" s="14">
        <v>3.5357599999999998</v>
      </c>
      <c r="X30" s="11">
        <v>171</v>
      </c>
      <c r="Y30" s="10">
        <v>43326</v>
      </c>
      <c r="Z30" s="11">
        <v>9886731269</v>
      </c>
      <c r="AA30" s="12" t="s">
        <v>54</v>
      </c>
      <c r="AB30" s="11" t="s">
        <v>90</v>
      </c>
      <c r="AC30" s="12" t="s">
        <v>91</v>
      </c>
      <c r="AD30" s="11" t="s">
        <v>50</v>
      </c>
      <c r="AE30" s="12" t="s">
        <v>51</v>
      </c>
      <c r="AF30" s="14">
        <v>3.76545E-2</v>
      </c>
      <c r="AG30" s="11" t="s">
        <v>45</v>
      </c>
    </row>
    <row r="31" spans="1:33" x14ac:dyDescent="0.2">
      <c r="A31" s="8">
        <v>4721</v>
      </c>
      <c r="B31" s="9" t="s">
        <v>131</v>
      </c>
      <c r="C31" s="10">
        <v>43326</v>
      </c>
      <c r="D31" s="11">
        <v>8</v>
      </c>
      <c r="E31" s="12" t="s">
        <v>34</v>
      </c>
      <c r="F31" s="12" t="s">
        <v>35</v>
      </c>
      <c r="G31" s="12" t="s">
        <v>35</v>
      </c>
      <c r="H31" s="12" t="s">
        <v>36</v>
      </c>
      <c r="I31" s="11" t="s">
        <v>145</v>
      </c>
      <c r="J31" s="12" t="s">
        <v>146</v>
      </c>
      <c r="K31" s="13" t="s">
        <v>88</v>
      </c>
      <c r="L31" s="11" t="str">
        <f>"000194"</f>
        <v>000194</v>
      </c>
      <c r="M31" s="10">
        <v>42802</v>
      </c>
      <c r="N31" s="11" t="str">
        <f>"000013"</f>
        <v>000013</v>
      </c>
      <c r="O31" s="10">
        <v>43036</v>
      </c>
      <c r="P31" s="11" t="str">
        <f>"000038"</f>
        <v>000038</v>
      </c>
      <c r="Q31" s="10">
        <v>43038</v>
      </c>
      <c r="R31" s="11">
        <v>17</v>
      </c>
      <c r="S31" s="11" t="str">
        <f>"005087"</f>
        <v>005087</v>
      </c>
      <c r="T31" s="10">
        <v>43322</v>
      </c>
      <c r="U31" s="14">
        <v>4.7472599999999998</v>
      </c>
      <c r="V31" s="14">
        <v>0.28958</v>
      </c>
      <c r="W31" s="14">
        <v>4.4576799999999999</v>
      </c>
      <c r="X31" s="11">
        <v>171</v>
      </c>
      <c r="Y31" s="10">
        <v>43326</v>
      </c>
      <c r="Z31" s="11">
        <v>9886731269</v>
      </c>
      <c r="AA31" s="12" t="s">
        <v>54</v>
      </c>
      <c r="AB31" s="11" t="s">
        <v>90</v>
      </c>
      <c r="AC31" s="12" t="s">
        <v>91</v>
      </c>
      <c r="AD31" s="11" t="s">
        <v>50</v>
      </c>
      <c r="AE31" s="12" t="s">
        <v>51</v>
      </c>
      <c r="AF31" s="14">
        <v>4.7472599999999997E-2</v>
      </c>
      <c r="AG31" s="11" t="s">
        <v>45</v>
      </c>
    </row>
    <row r="32" spans="1:33" x14ac:dyDescent="0.2">
      <c r="A32" s="8">
        <v>4722</v>
      </c>
      <c r="B32" s="9" t="s">
        <v>131</v>
      </c>
      <c r="C32" s="10">
        <v>43326</v>
      </c>
      <c r="D32" s="11">
        <v>8</v>
      </c>
      <c r="E32" s="12" t="s">
        <v>34</v>
      </c>
      <c r="F32" s="12" t="s">
        <v>35</v>
      </c>
      <c r="G32" s="12" t="s">
        <v>35</v>
      </c>
      <c r="H32" s="12" t="s">
        <v>36</v>
      </c>
      <c r="I32" s="11" t="s">
        <v>147</v>
      </c>
      <c r="J32" s="12" t="s">
        <v>148</v>
      </c>
      <c r="K32" s="13" t="s">
        <v>88</v>
      </c>
      <c r="L32" s="11" t="str">
        <f>"000190"</f>
        <v>000190</v>
      </c>
      <c r="M32" s="10">
        <v>42802</v>
      </c>
      <c r="N32" s="11" t="str">
        <f>"000014"</f>
        <v>000014</v>
      </c>
      <c r="O32" s="10">
        <v>43036</v>
      </c>
      <c r="P32" s="11" t="str">
        <f>"000039"</f>
        <v>000039</v>
      </c>
      <c r="Q32" s="10">
        <v>43038</v>
      </c>
      <c r="R32" s="11">
        <v>17</v>
      </c>
      <c r="S32" s="11" t="str">
        <f>"005088"</f>
        <v>005088</v>
      </c>
      <c r="T32" s="10">
        <v>43322</v>
      </c>
      <c r="U32" s="14">
        <v>6.6490900000000002</v>
      </c>
      <c r="V32" s="14">
        <v>0.40559000000000001</v>
      </c>
      <c r="W32" s="14">
        <v>6.2435</v>
      </c>
      <c r="X32" s="11">
        <v>171</v>
      </c>
      <c r="Y32" s="10">
        <v>43326</v>
      </c>
      <c r="Z32" s="11">
        <v>9886731269</v>
      </c>
      <c r="AA32" s="12" t="s">
        <v>54</v>
      </c>
      <c r="AB32" s="11" t="s">
        <v>90</v>
      </c>
      <c r="AC32" s="12" t="s">
        <v>91</v>
      </c>
      <c r="AD32" s="11" t="s">
        <v>50</v>
      </c>
      <c r="AE32" s="12" t="s">
        <v>51</v>
      </c>
      <c r="AF32" s="14">
        <v>6.6490900000000006E-2</v>
      </c>
      <c r="AG32" s="11" t="s">
        <v>45</v>
      </c>
    </row>
    <row r="33" spans="1:33" x14ac:dyDescent="0.2">
      <c r="A33" s="8">
        <v>4723</v>
      </c>
      <c r="B33" s="9" t="s">
        <v>131</v>
      </c>
      <c r="C33" s="10">
        <v>43326</v>
      </c>
      <c r="D33" s="11">
        <v>8</v>
      </c>
      <c r="E33" s="12" t="s">
        <v>34</v>
      </c>
      <c r="F33" s="12" t="s">
        <v>35</v>
      </c>
      <c r="G33" s="12" t="s">
        <v>35</v>
      </c>
      <c r="H33" s="12" t="s">
        <v>36</v>
      </c>
      <c r="I33" s="11" t="s">
        <v>149</v>
      </c>
      <c r="J33" s="12" t="s">
        <v>150</v>
      </c>
      <c r="K33" s="13" t="s">
        <v>88</v>
      </c>
      <c r="L33" s="11" t="str">
        <f>"000191"</f>
        <v>000191</v>
      </c>
      <c r="M33" s="10">
        <v>42802</v>
      </c>
      <c r="N33" s="11" t="str">
        <f>"000012"</f>
        <v>000012</v>
      </c>
      <c r="O33" s="10">
        <v>43036</v>
      </c>
      <c r="P33" s="11" t="str">
        <f>"000040"</f>
        <v>000040</v>
      </c>
      <c r="Q33" s="10">
        <v>43038</v>
      </c>
      <c r="R33" s="11">
        <v>17</v>
      </c>
      <c r="S33" s="11" t="str">
        <f>"005089"</f>
        <v>005089</v>
      </c>
      <c r="T33" s="10">
        <v>43322</v>
      </c>
      <c r="U33" s="14">
        <v>5.6501799999999998</v>
      </c>
      <c r="V33" s="14">
        <v>0.34466000000000002</v>
      </c>
      <c r="W33" s="14">
        <v>5.3055199999999996</v>
      </c>
      <c r="X33" s="11">
        <v>171</v>
      </c>
      <c r="Y33" s="10">
        <v>43326</v>
      </c>
      <c r="Z33" s="11">
        <v>9886731269</v>
      </c>
      <c r="AA33" s="12" t="s">
        <v>54</v>
      </c>
      <c r="AB33" s="11" t="s">
        <v>90</v>
      </c>
      <c r="AC33" s="12" t="s">
        <v>91</v>
      </c>
      <c r="AD33" s="11" t="s">
        <v>50</v>
      </c>
      <c r="AE33" s="12" t="s">
        <v>51</v>
      </c>
      <c r="AF33" s="14">
        <v>5.6501799999999998E-2</v>
      </c>
      <c r="AG33" s="11" t="s">
        <v>45</v>
      </c>
    </row>
    <row r="34" spans="1:33" x14ac:dyDescent="0.2">
      <c r="A34" s="8">
        <v>5123</v>
      </c>
      <c r="B34" s="9" t="s">
        <v>131</v>
      </c>
      <c r="C34" s="10">
        <v>43339</v>
      </c>
      <c r="D34" s="11">
        <v>8</v>
      </c>
      <c r="E34" s="12" t="s">
        <v>34</v>
      </c>
      <c r="F34" s="12" t="s">
        <v>35</v>
      </c>
      <c r="G34" s="12" t="s">
        <v>35</v>
      </c>
      <c r="H34" s="12" t="s">
        <v>36</v>
      </c>
      <c r="I34" s="11" t="s">
        <v>151</v>
      </c>
      <c r="J34" s="12" t="s">
        <v>152</v>
      </c>
      <c r="K34" s="13" t="s">
        <v>88</v>
      </c>
      <c r="L34" s="11" t="str">
        <f>"000064"</f>
        <v>000064</v>
      </c>
      <c r="M34" s="10">
        <v>43136</v>
      </c>
      <c r="N34" s="11" t="str">
        <f>"000008"</f>
        <v>000008</v>
      </c>
      <c r="O34" s="10">
        <v>43273</v>
      </c>
      <c r="P34" s="11" t="str">
        <f>"000035"</f>
        <v>000035</v>
      </c>
      <c r="Q34" s="10">
        <v>43286</v>
      </c>
      <c r="R34" s="11">
        <v>17</v>
      </c>
      <c r="S34" s="11" t="str">
        <f>"005406"</f>
        <v>005406</v>
      </c>
      <c r="T34" s="10">
        <v>43339</v>
      </c>
      <c r="U34" s="14">
        <v>16.686330000000002</v>
      </c>
      <c r="V34" s="14">
        <v>1.3899699999999999</v>
      </c>
      <c r="W34" s="14">
        <v>15.29636</v>
      </c>
      <c r="X34" s="11">
        <v>184</v>
      </c>
      <c r="Y34" s="10">
        <v>43339</v>
      </c>
      <c r="Z34" s="11">
        <v>9449863065</v>
      </c>
      <c r="AA34" s="12" t="s">
        <v>71</v>
      </c>
      <c r="AB34" s="11" t="s">
        <v>153</v>
      </c>
      <c r="AC34" s="12" t="s">
        <v>154</v>
      </c>
      <c r="AD34" s="11" t="s">
        <v>50</v>
      </c>
      <c r="AE34" s="12" t="s">
        <v>51</v>
      </c>
      <c r="AF34" s="14">
        <v>0.16686330000000002</v>
      </c>
      <c r="AG34" s="11" t="s">
        <v>74</v>
      </c>
    </row>
    <row r="35" spans="1:33" x14ac:dyDescent="0.2">
      <c r="A35" s="8">
        <v>5160</v>
      </c>
      <c r="B35" s="9" t="s">
        <v>155</v>
      </c>
      <c r="C35" s="10">
        <v>43346</v>
      </c>
      <c r="D35" s="11">
        <v>8</v>
      </c>
      <c r="E35" s="12" t="s">
        <v>34</v>
      </c>
      <c r="F35" s="12" t="s">
        <v>35</v>
      </c>
      <c r="G35" s="12" t="s">
        <v>35</v>
      </c>
      <c r="H35" s="12" t="s">
        <v>36</v>
      </c>
      <c r="I35" s="11" t="s">
        <v>156</v>
      </c>
      <c r="J35" s="12" t="s">
        <v>157</v>
      </c>
      <c r="K35" s="13" t="s">
        <v>83</v>
      </c>
      <c r="L35" s="11" t="str">
        <f>"000035"</f>
        <v>000035</v>
      </c>
      <c r="M35" s="10">
        <v>42784</v>
      </c>
      <c r="N35" s="11" t="str">
        <f>"000050"</f>
        <v>000050</v>
      </c>
      <c r="O35" s="10">
        <v>42915</v>
      </c>
      <c r="P35" s="11" t="str">
        <f>"000050"</f>
        <v>000050</v>
      </c>
      <c r="Q35" s="10">
        <v>42915</v>
      </c>
      <c r="R35" s="11">
        <v>16</v>
      </c>
      <c r="S35" s="11" t="str">
        <f>"005512"</f>
        <v>005512</v>
      </c>
      <c r="T35" s="10">
        <v>43341</v>
      </c>
      <c r="U35" s="14">
        <v>49.748390000000001</v>
      </c>
      <c r="V35" s="14">
        <v>7.2632700000000003</v>
      </c>
      <c r="W35" s="14">
        <v>42.485120000000002</v>
      </c>
      <c r="X35" s="11">
        <v>189</v>
      </c>
      <c r="Y35" s="10">
        <v>43346</v>
      </c>
      <c r="Z35" s="11">
        <v>0</v>
      </c>
      <c r="AA35" s="12" t="s">
        <v>158</v>
      </c>
      <c r="AB35" s="11" t="s">
        <v>159</v>
      </c>
      <c r="AC35" s="12" t="s">
        <v>160</v>
      </c>
      <c r="AD35" s="11" t="s">
        <v>43</v>
      </c>
      <c r="AE35" s="12" t="s">
        <v>44</v>
      </c>
      <c r="AF35" s="14">
        <f t="shared" ref="AF35:AF64" si="0">U35/100</f>
        <v>0.49748389999999998</v>
      </c>
      <c r="AG35" s="11" t="s">
        <v>45</v>
      </c>
    </row>
    <row r="36" spans="1:33" x14ac:dyDescent="0.2">
      <c r="A36" s="8">
        <v>5161</v>
      </c>
      <c r="B36" s="9" t="s">
        <v>155</v>
      </c>
      <c r="C36" s="10">
        <v>43346</v>
      </c>
      <c r="D36" s="11">
        <v>8</v>
      </c>
      <c r="E36" s="12" t="s">
        <v>34</v>
      </c>
      <c r="F36" s="12" t="s">
        <v>35</v>
      </c>
      <c r="G36" s="12" t="s">
        <v>35</v>
      </c>
      <c r="H36" s="12" t="s">
        <v>36</v>
      </c>
      <c r="I36" s="11" t="s">
        <v>161</v>
      </c>
      <c r="J36" s="12" t="s">
        <v>162</v>
      </c>
      <c r="K36" s="13" t="s">
        <v>83</v>
      </c>
      <c r="L36" s="11" t="str">
        <f>"000034"</f>
        <v>000034</v>
      </c>
      <c r="M36" s="10">
        <v>42784</v>
      </c>
      <c r="N36" s="11" t="str">
        <f>"000051"</f>
        <v>000051</v>
      </c>
      <c r="O36" s="10">
        <v>42915</v>
      </c>
      <c r="P36" s="11" t="str">
        <f>"000051"</f>
        <v>000051</v>
      </c>
      <c r="Q36" s="10">
        <v>42915</v>
      </c>
      <c r="R36" s="11">
        <v>16</v>
      </c>
      <c r="S36" s="11" t="str">
        <f>"005513"</f>
        <v>005513</v>
      </c>
      <c r="T36" s="10">
        <v>43341</v>
      </c>
      <c r="U36" s="14">
        <v>49.998579999999997</v>
      </c>
      <c r="V36" s="14">
        <v>7.2997899999999998</v>
      </c>
      <c r="W36" s="14">
        <v>42.698790000000002</v>
      </c>
      <c r="X36" s="11">
        <v>189</v>
      </c>
      <c r="Y36" s="10">
        <v>43346</v>
      </c>
      <c r="Z36" s="11">
        <v>0</v>
      </c>
      <c r="AA36" s="12" t="s">
        <v>158</v>
      </c>
      <c r="AB36" s="11" t="s">
        <v>159</v>
      </c>
      <c r="AC36" s="12" t="s">
        <v>160</v>
      </c>
      <c r="AD36" s="11" t="s">
        <v>43</v>
      </c>
      <c r="AE36" s="12" t="s">
        <v>44</v>
      </c>
      <c r="AF36" s="14">
        <f t="shared" si="0"/>
        <v>0.49998579999999998</v>
      </c>
      <c r="AG36" s="11" t="s">
        <v>45</v>
      </c>
    </row>
    <row r="37" spans="1:33" x14ac:dyDescent="0.2">
      <c r="A37" s="8">
        <v>5162</v>
      </c>
      <c r="B37" s="9" t="s">
        <v>155</v>
      </c>
      <c r="C37" s="10">
        <v>43346</v>
      </c>
      <c r="D37" s="11">
        <v>8</v>
      </c>
      <c r="E37" s="12" t="s">
        <v>34</v>
      </c>
      <c r="F37" s="12" t="s">
        <v>35</v>
      </c>
      <c r="G37" s="12" t="s">
        <v>35</v>
      </c>
      <c r="H37" s="12" t="s">
        <v>36</v>
      </c>
      <c r="I37" s="11" t="s">
        <v>163</v>
      </c>
      <c r="J37" s="12" t="s">
        <v>164</v>
      </c>
      <c r="K37" s="13" t="s">
        <v>48</v>
      </c>
      <c r="L37" s="11" t="str">
        <f>"000594"</f>
        <v>000594</v>
      </c>
      <c r="M37" s="10">
        <v>41701</v>
      </c>
      <c r="N37" s="11" t="str">
        <f>"000279"</f>
        <v>000279</v>
      </c>
      <c r="O37" s="10">
        <v>42821</v>
      </c>
      <c r="P37" s="11" t="str">
        <f>"000901"</f>
        <v>000901</v>
      </c>
      <c r="Q37" s="10">
        <v>42825</v>
      </c>
      <c r="R37" s="11">
        <v>14</v>
      </c>
      <c r="S37" s="11" t="str">
        <f>"005562"</f>
        <v>005562</v>
      </c>
      <c r="T37" s="10">
        <v>43341</v>
      </c>
      <c r="U37" s="14">
        <v>19.601089999999999</v>
      </c>
      <c r="V37" s="14">
        <v>2.6259299999999999</v>
      </c>
      <c r="W37" s="14">
        <v>16.975159999999999</v>
      </c>
      <c r="X37" s="11">
        <v>193</v>
      </c>
      <c r="Y37" s="10">
        <v>43346</v>
      </c>
      <c r="Z37" s="11">
        <v>9591739363</v>
      </c>
      <c r="AA37" s="12" t="s">
        <v>165</v>
      </c>
      <c r="AB37" s="11" t="s">
        <v>59</v>
      </c>
      <c r="AC37" s="12" t="s">
        <v>60</v>
      </c>
      <c r="AD37" s="11" t="s">
        <v>50</v>
      </c>
      <c r="AE37" s="12" t="s">
        <v>51</v>
      </c>
      <c r="AF37" s="14">
        <f t="shared" si="0"/>
        <v>0.19601089999999999</v>
      </c>
      <c r="AG37" s="11" t="s">
        <v>45</v>
      </c>
    </row>
    <row r="38" spans="1:33" x14ac:dyDescent="0.2">
      <c r="A38" s="8">
        <v>5163</v>
      </c>
      <c r="B38" s="9" t="s">
        <v>155</v>
      </c>
      <c r="C38" s="10">
        <v>43346</v>
      </c>
      <c r="D38" s="11">
        <v>8</v>
      </c>
      <c r="E38" s="12" t="s">
        <v>34</v>
      </c>
      <c r="F38" s="12" t="s">
        <v>35</v>
      </c>
      <c r="G38" s="12" t="s">
        <v>35</v>
      </c>
      <c r="H38" s="12" t="s">
        <v>36</v>
      </c>
      <c r="I38" s="11" t="s">
        <v>166</v>
      </c>
      <c r="J38" s="12" t="s">
        <v>167</v>
      </c>
      <c r="K38" s="13" t="s">
        <v>168</v>
      </c>
      <c r="L38" s="11" t="str">
        <f>"000597"</f>
        <v>000597</v>
      </c>
      <c r="M38" s="10">
        <v>41703</v>
      </c>
      <c r="N38" s="11" t="str">
        <f>"000280"</f>
        <v>000280</v>
      </c>
      <c r="O38" s="10">
        <v>42821</v>
      </c>
      <c r="P38" s="11" t="str">
        <f>"000902"</f>
        <v>000902</v>
      </c>
      <c r="Q38" s="10">
        <v>42825</v>
      </c>
      <c r="R38" s="11">
        <v>11</v>
      </c>
      <c r="S38" s="11" t="str">
        <f>"005563"</f>
        <v>005563</v>
      </c>
      <c r="T38" s="10">
        <v>43341</v>
      </c>
      <c r="U38" s="14">
        <v>4.8568100000000003</v>
      </c>
      <c r="V38" s="14">
        <v>0.56760999999999995</v>
      </c>
      <c r="W38" s="14">
        <v>4.2892000000000001</v>
      </c>
      <c r="X38" s="11">
        <v>193</v>
      </c>
      <c r="Y38" s="10">
        <v>43346</v>
      </c>
      <c r="Z38" s="11">
        <v>9591739363</v>
      </c>
      <c r="AA38" s="12" t="s">
        <v>165</v>
      </c>
      <c r="AB38" s="11" t="s">
        <v>59</v>
      </c>
      <c r="AC38" s="12" t="s">
        <v>60</v>
      </c>
      <c r="AD38" s="11" t="s">
        <v>169</v>
      </c>
      <c r="AE38" s="12" t="s">
        <v>170</v>
      </c>
      <c r="AF38" s="14">
        <f t="shared" si="0"/>
        <v>4.8568100000000003E-2</v>
      </c>
      <c r="AG38" s="11" t="s">
        <v>45</v>
      </c>
    </row>
    <row r="39" spans="1:33" x14ac:dyDescent="0.2">
      <c r="A39" s="8">
        <v>5438</v>
      </c>
      <c r="B39" s="9" t="s">
        <v>155</v>
      </c>
      <c r="C39" s="10">
        <v>43357</v>
      </c>
      <c r="D39" s="11">
        <v>8</v>
      </c>
      <c r="E39" s="12" t="s">
        <v>34</v>
      </c>
      <c r="F39" s="12" t="s">
        <v>35</v>
      </c>
      <c r="G39" s="12" t="s">
        <v>35</v>
      </c>
      <c r="H39" s="12" t="s">
        <v>36</v>
      </c>
      <c r="I39" s="11" t="s">
        <v>171</v>
      </c>
      <c r="J39" s="12" t="s">
        <v>172</v>
      </c>
      <c r="K39" s="13" t="s">
        <v>83</v>
      </c>
      <c r="L39" s="11" t="str">
        <f>"000195"</f>
        <v>000195</v>
      </c>
      <c r="M39" s="10">
        <v>42802</v>
      </c>
      <c r="N39" s="11" t="str">
        <f>"000051"</f>
        <v>000051</v>
      </c>
      <c r="O39" s="10">
        <v>42916</v>
      </c>
      <c r="P39" s="11" t="str">
        <f>"000176"</f>
        <v>000176</v>
      </c>
      <c r="Q39" s="10">
        <v>42916</v>
      </c>
      <c r="R39" s="11">
        <v>17</v>
      </c>
      <c r="S39" s="11" t="str">
        <f>"005637"</f>
        <v>005637</v>
      </c>
      <c r="T39" s="10">
        <v>43349</v>
      </c>
      <c r="U39" s="14">
        <v>5.2815700000000003</v>
      </c>
      <c r="V39" s="14">
        <v>0.32218000000000002</v>
      </c>
      <c r="W39" s="14">
        <v>4.95939</v>
      </c>
      <c r="X39" s="11">
        <v>203</v>
      </c>
      <c r="Y39" s="10">
        <v>43357</v>
      </c>
      <c r="Z39" s="11">
        <v>9980022447</v>
      </c>
      <c r="AA39" s="12" t="s">
        <v>173</v>
      </c>
      <c r="AB39" s="11" t="s">
        <v>59</v>
      </c>
      <c r="AC39" s="12" t="s">
        <v>60</v>
      </c>
      <c r="AD39" s="11" t="s">
        <v>50</v>
      </c>
      <c r="AE39" s="12" t="s">
        <v>51</v>
      </c>
      <c r="AF39" s="14">
        <f t="shared" si="0"/>
        <v>5.28157E-2</v>
      </c>
      <c r="AG39" s="11" t="s">
        <v>45</v>
      </c>
    </row>
    <row r="40" spans="1:33" x14ac:dyDescent="0.2">
      <c r="A40" s="8">
        <v>5527</v>
      </c>
      <c r="B40" s="9" t="s">
        <v>155</v>
      </c>
      <c r="C40" s="10">
        <v>43362</v>
      </c>
      <c r="D40" s="11">
        <v>8</v>
      </c>
      <c r="E40" s="12" t="s">
        <v>34</v>
      </c>
      <c r="F40" s="12" t="s">
        <v>35</v>
      </c>
      <c r="G40" s="12" t="s">
        <v>35</v>
      </c>
      <c r="H40" s="12" t="s">
        <v>36</v>
      </c>
      <c r="I40" s="11" t="s">
        <v>174</v>
      </c>
      <c r="J40" s="12" t="s">
        <v>175</v>
      </c>
      <c r="K40" s="13" t="s">
        <v>48</v>
      </c>
      <c r="L40" s="11" t="str">
        <f>"000010"</f>
        <v>000010</v>
      </c>
      <c r="M40" s="10">
        <v>43276</v>
      </c>
      <c r="N40" s="11" t="str">
        <f>"000029"</f>
        <v>000029</v>
      </c>
      <c r="O40" s="10">
        <v>43332</v>
      </c>
      <c r="P40" s="11" t="str">
        <f>"000076"</f>
        <v>000076</v>
      </c>
      <c r="Q40" s="10">
        <v>43336</v>
      </c>
      <c r="R40" s="11">
        <v>18</v>
      </c>
      <c r="S40" s="11" t="str">
        <f>"005796"</f>
        <v>005796</v>
      </c>
      <c r="T40" s="10">
        <v>43361</v>
      </c>
      <c r="U40" s="14">
        <v>154.01557</v>
      </c>
      <c r="V40" s="14">
        <v>6.3300599999999996</v>
      </c>
      <c r="W40" s="14">
        <v>147.68550999999999</v>
      </c>
      <c r="X40" s="11">
        <v>206</v>
      </c>
      <c r="Y40" s="10">
        <v>43362</v>
      </c>
      <c r="Z40" s="11">
        <v>984545252</v>
      </c>
      <c r="AA40" s="12" t="s">
        <v>176</v>
      </c>
      <c r="AB40" s="11" t="s">
        <v>72</v>
      </c>
      <c r="AC40" s="12" t="s">
        <v>73</v>
      </c>
      <c r="AD40" s="11" t="s">
        <v>50</v>
      </c>
      <c r="AE40" s="12" t="s">
        <v>51</v>
      </c>
      <c r="AF40" s="14">
        <f t="shared" si="0"/>
        <v>1.5401556999999999</v>
      </c>
      <c r="AG40" s="11" t="s">
        <v>177</v>
      </c>
    </row>
    <row r="41" spans="1:33" x14ac:dyDescent="0.2">
      <c r="A41" s="8">
        <v>5590</v>
      </c>
      <c r="B41" s="9" t="s">
        <v>155</v>
      </c>
      <c r="C41" s="10">
        <v>43370</v>
      </c>
      <c r="D41" s="11">
        <v>8</v>
      </c>
      <c r="E41" s="12" t="s">
        <v>34</v>
      </c>
      <c r="F41" s="12" t="s">
        <v>35</v>
      </c>
      <c r="G41" s="12" t="s">
        <v>35</v>
      </c>
      <c r="H41" s="12" t="s">
        <v>36</v>
      </c>
      <c r="I41" s="11" t="s">
        <v>178</v>
      </c>
      <c r="J41" s="12" t="s">
        <v>179</v>
      </c>
      <c r="K41" s="13" t="s">
        <v>83</v>
      </c>
      <c r="L41" s="11" t="str">
        <f>"000070"</f>
        <v>000070</v>
      </c>
      <c r="M41" s="10">
        <v>42571</v>
      </c>
      <c r="N41" s="11" t="str">
        <f>"000013"</f>
        <v>000013</v>
      </c>
      <c r="O41" s="10">
        <v>42852</v>
      </c>
      <c r="P41" s="11" t="str">
        <f>"000021"</f>
        <v>000021</v>
      </c>
      <c r="Q41" s="10">
        <v>42853</v>
      </c>
      <c r="R41" s="11">
        <v>16</v>
      </c>
      <c r="S41" s="11" t="str">
        <f>"005896"</f>
        <v>005896</v>
      </c>
      <c r="T41" s="10">
        <v>43367</v>
      </c>
      <c r="U41" s="14">
        <v>18.381509999999999</v>
      </c>
      <c r="V41" s="14">
        <v>1.3504799999999999</v>
      </c>
      <c r="W41" s="14">
        <v>17.031030000000001</v>
      </c>
      <c r="X41" s="11">
        <v>217</v>
      </c>
      <c r="Y41" s="10">
        <v>43370</v>
      </c>
      <c r="Z41" s="11">
        <v>9980959246</v>
      </c>
      <c r="AA41" s="12" t="s">
        <v>180</v>
      </c>
      <c r="AB41" s="11" t="s">
        <v>59</v>
      </c>
      <c r="AC41" s="12" t="s">
        <v>60</v>
      </c>
      <c r="AD41" s="11" t="s">
        <v>50</v>
      </c>
      <c r="AE41" s="12" t="s">
        <v>51</v>
      </c>
      <c r="AF41" s="14">
        <f t="shared" si="0"/>
        <v>0.18381509999999998</v>
      </c>
      <c r="AG41" s="11" t="s">
        <v>45</v>
      </c>
    </row>
    <row r="42" spans="1:33" x14ac:dyDescent="0.2">
      <c r="A42" s="8">
        <v>5591</v>
      </c>
      <c r="B42" s="9" t="s">
        <v>155</v>
      </c>
      <c r="C42" s="10">
        <v>43370</v>
      </c>
      <c r="D42" s="11">
        <v>8</v>
      </c>
      <c r="E42" s="12" t="s">
        <v>34</v>
      </c>
      <c r="F42" s="12" t="s">
        <v>35</v>
      </c>
      <c r="G42" s="12" t="s">
        <v>35</v>
      </c>
      <c r="H42" s="12" t="s">
        <v>36</v>
      </c>
      <c r="I42" s="11" t="s">
        <v>181</v>
      </c>
      <c r="J42" s="12" t="s">
        <v>182</v>
      </c>
      <c r="K42" s="13" t="s">
        <v>39</v>
      </c>
      <c r="L42" s="11" t="str">
        <f>"000176"</f>
        <v>000176</v>
      </c>
      <c r="M42" s="10">
        <v>42782</v>
      </c>
      <c r="N42" s="11" t="str">
        <f>"000007"</f>
        <v>000007</v>
      </c>
      <c r="O42" s="10">
        <v>42849</v>
      </c>
      <c r="P42" s="11" t="str">
        <f>"000022"</f>
        <v>000022</v>
      </c>
      <c r="Q42" s="10">
        <v>42853</v>
      </c>
      <c r="R42" s="11">
        <v>15</v>
      </c>
      <c r="S42" s="11" t="str">
        <f>"005897"</f>
        <v>005897</v>
      </c>
      <c r="T42" s="10">
        <v>43367</v>
      </c>
      <c r="U42" s="14">
        <v>10.257339999999999</v>
      </c>
      <c r="V42" s="14">
        <v>0.62568999999999997</v>
      </c>
      <c r="W42" s="14">
        <v>9.6316500000000005</v>
      </c>
      <c r="X42" s="11">
        <v>217</v>
      </c>
      <c r="Y42" s="10">
        <v>43370</v>
      </c>
      <c r="Z42" s="11">
        <v>9448071401</v>
      </c>
      <c r="AA42" s="12" t="s">
        <v>183</v>
      </c>
      <c r="AB42" s="11" t="s">
        <v>59</v>
      </c>
      <c r="AC42" s="12" t="s">
        <v>60</v>
      </c>
      <c r="AD42" s="11" t="s">
        <v>50</v>
      </c>
      <c r="AE42" s="12" t="s">
        <v>51</v>
      </c>
      <c r="AF42" s="14">
        <f t="shared" si="0"/>
        <v>0.1025734</v>
      </c>
      <c r="AG42" s="11" t="s">
        <v>45</v>
      </c>
    </row>
    <row r="43" spans="1:33" x14ac:dyDescent="0.2">
      <c r="A43" s="8">
        <v>5592</v>
      </c>
      <c r="B43" s="9" t="s">
        <v>155</v>
      </c>
      <c r="C43" s="10">
        <v>43370</v>
      </c>
      <c r="D43" s="11">
        <v>8</v>
      </c>
      <c r="E43" s="12" t="s">
        <v>34</v>
      </c>
      <c r="F43" s="12" t="s">
        <v>35</v>
      </c>
      <c r="G43" s="12" t="s">
        <v>35</v>
      </c>
      <c r="H43" s="12" t="s">
        <v>36</v>
      </c>
      <c r="I43" s="11" t="s">
        <v>184</v>
      </c>
      <c r="J43" s="12" t="s">
        <v>185</v>
      </c>
      <c r="K43" s="13" t="s">
        <v>88</v>
      </c>
      <c r="L43" s="11" t="str">
        <f>"00093 "</f>
        <v xml:space="preserve">00093 </v>
      </c>
      <c r="M43" s="10">
        <v>42802</v>
      </c>
      <c r="N43" s="11" t="str">
        <f>"000016"</f>
        <v>000016</v>
      </c>
      <c r="O43" s="10">
        <v>43048</v>
      </c>
      <c r="P43" s="11" t="str">
        <f>"000054"</f>
        <v>000054</v>
      </c>
      <c r="Q43" s="10">
        <v>43067</v>
      </c>
      <c r="R43" s="11">
        <v>17</v>
      </c>
      <c r="S43" s="11" t="str">
        <f>"005947"</f>
        <v>005947</v>
      </c>
      <c r="T43" s="10">
        <v>43368</v>
      </c>
      <c r="U43" s="14">
        <v>3.48481</v>
      </c>
      <c r="V43" s="14">
        <v>8.2479999999999998E-2</v>
      </c>
      <c r="W43" s="14">
        <v>3.4023300000000001</v>
      </c>
      <c r="X43" s="11">
        <v>218</v>
      </c>
      <c r="Y43" s="10">
        <v>43370</v>
      </c>
      <c r="Z43" s="11">
        <v>9886731269</v>
      </c>
      <c r="AA43" s="12" t="s">
        <v>54</v>
      </c>
      <c r="AB43" s="11" t="s">
        <v>90</v>
      </c>
      <c r="AC43" s="12" t="s">
        <v>91</v>
      </c>
      <c r="AD43" s="11" t="s">
        <v>50</v>
      </c>
      <c r="AE43" s="12" t="s">
        <v>51</v>
      </c>
      <c r="AF43" s="14">
        <f t="shared" si="0"/>
        <v>3.48481E-2</v>
      </c>
      <c r="AG43" s="11" t="s">
        <v>45</v>
      </c>
    </row>
    <row r="44" spans="1:33" x14ac:dyDescent="0.2">
      <c r="A44" s="8">
        <v>5911</v>
      </c>
      <c r="B44" s="9" t="s">
        <v>186</v>
      </c>
      <c r="C44" s="10">
        <v>43385</v>
      </c>
      <c r="D44" s="11">
        <v>8</v>
      </c>
      <c r="E44" s="12" t="s">
        <v>34</v>
      </c>
      <c r="F44" s="12" t="s">
        <v>35</v>
      </c>
      <c r="G44" s="12" t="s">
        <v>35</v>
      </c>
      <c r="H44" s="12" t="s">
        <v>36</v>
      </c>
      <c r="I44" s="11" t="s">
        <v>187</v>
      </c>
      <c r="J44" s="12" t="s">
        <v>188</v>
      </c>
      <c r="K44" s="13" t="s">
        <v>48</v>
      </c>
      <c r="L44" s="11" t="str">
        <f>"000020"</f>
        <v>000020</v>
      </c>
      <c r="M44" s="10">
        <v>43060</v>
      </c>
      <c r="N44" s="11" t="str">
        <f>"000045"</f>
        <v>000045</v>
      </c>
      <c r="O44" s="10">
        <v>43399</v>
      </c>
      <c r="P44" s="11" t="str">
        <f>"000143"</f>
        <v>000143</v>
      </c>
      <c r="Q44" s="10">
        <v>43428</v>
      </c>
      <c r="R44" s="11">
        <v>17</v>
      </c>
      <c r="S44" s="11" t="str">
        <f>""</f>
        <v/>
      </c>
      <c r="T44" s="10"/>
      <c r="U44" s="14">
        <v>80.880750000000006</v>
      </c>
      <c r="V44" s="14">
        <v>3.5021100000000001</v>
      </c>
      <c r="W44" s="14">
        <v>77.378640000000004</v>
      </c>
      <c r="X44" s="11">
        <v>227</v>
      </c>
      <c r="Y44" s="10">
        <v>43385</v>
      </c>
      <c r="Z44" s="11">
        <v>9845230920</v>
      </c>
      <c r="AA44" s="12" t="s">
        <v>189</v>
      </c>
      <c r="AB44" s="11" t="s">
        <v>190</v>
      </c>
      <c r="AC44" s="12" t="s">
        <v>191</v>
      </c>
      <c r="AD44" s="11" t="s">
        <v>50</v>
      </c>
      <c r="AE44" s="12" t="s">
        <v>51</v>
      </c>
      <c r="AF44" s="14">
        <f t="shared" si="0"/>
        <v>0.80880750000000001</v>
      </c>
      <c r="AG44" s="11" t="s">
        <v>74</v>
      </c>
    </row>
    <row r="45" spans="1:33" x14ac:dyDescent="0.2">
      <c r="A45" s="8">
        <v>5912</v>
      </c>
      <c r="B45" s="9" t="s">
        <v>186</v>
      </c>
      <c r="C45" s="10">
        <v>43385</v>
      </c>
      <c r="D45" s="11">
        <v>8</v>
      </c>
      <c r="E45" s="12" t="s">
        <v>34</v>
      </c>
      <c r="F45" s="12" t="s">
        <v>35</v>
      </c>
      <c r="G45" s="12" t="s">
        <v>35</v>
      </c>
      <c r="H45" s="12" t="s">
        <v>36</v>
      </c>
      <c r="I45" s="11" t="s">
        <v>187</v>
      </c>
      <c r="J45" s="12" t="s">
        <v>188</v>
      </c>
      <c r="K45" s="13" t="s">
        <v>48</v>
      </c>
      <c r="L45" s="11" t="str">
        <f>"000020"</f>
        <v>000020</v>
      </c>
      <c r="M45" s="10">
        <v>43060</v>
      </c>
      <c r="N45" s="11" t="str">
        <f>"000045"</f>
        <v>000045</v>
      </c>
      <c r="O45" s="10">
        <v>43399</v>
      </c>
      <c r="P45" s="11" t="str">
        <f>"000143"</f>
        <v>000143</v>
      </c>
      <c r="Q45" s="10">
        <v>43428</v>
      </c>
      <c r="R45" s="11">
        <v>17</v>
      </c>
      <c r="S45" s="11" t="str">
        <f>""</f>
        <v/>
      </c>
      <c r="T45" s="10"/>
      <c r="U45" s="14">
        <v>80.880750000000006</v>
      </c>
      <c r="V45" s="14">
        <v>3.5021100000000001</v>
      </c>
      <c r="W45" s="14">
        <v>77.378640000000004</v>
      </c>
      <c r="X45" s="11">
        <v>227</v>
      </c>
      <c r="Y45" s="10">
        <v>43385</v>
      </c>
      <c r="Z45" s="11">
        <v>9845230920</v>
      </c>
      <c r="AA45" s="12" t="s">
        <v>189</v>
      </c>
      <c r="AB45" s="11" t="s">
        <v>190</v>
      </c>
      <c r="AC45" s="12" t="s">
        <v>191</v>
      </c>
      <c r="AD45" s="11" t="s">
        <v>50</v>
      </c>
      <c r="AE45" s="12" t="s">
        <v>51</v>
      </c>
      <c r="AF45" s="14">
        <f t="shared" si="0"/>
        <v>0.80880750000000001</v>
      </c>
      <c r="AG45" s="11" t="s">
        <v>74</v>
      </c>
    </row>
    <row r="46" spans="1:33" x14ac:dyDescent="0.2">
      <c r="A46" s="8">
        <v>6476</v>
      </c>
      <c r="B46" s="9" t="s">
        <v>186</v>
      </c>
      <c r="C46" s="10">
        <v>43389</v>
      </c>
      <c r="D46" s="11">
        <v>8</v>
      </c>
      <c r="E46" s="12" t="s">
        <v>34</v>
      </c>
      <c r="F46" s="12" t="s">
        <v>35</v>
      </c>
      <c r="G46" s="12" t="s">
        <v>35</v>
      </c>
      <c r="H46" s="12" t="s">
        <v>36</v>
      </c>
      <c r="I46" s="11" t="s">
        <v>187</v>
      </c>
      <c r="J46" s="12" t="s">
        <v>188</v>
      </c>
      <c r="K46" s="13" t="s">
        <v>48</v>
      </c>
      <c r="L46" s="11" t="str">
        <f>"000020"</f>
        <v>000020</v>
      </c>
      <c r="M46" s="10">
        <v>43060</v>
      </c>
      <c r="N46" s="11" t="str">
        <f>"000045"</f>
        <v>000045</v>
      </c>
      <c r="O46" s="10">
        <v>43399</v>
      </c>
      <c r="P46" s="11" t="str">
        <f>"000143"</f>
        <v>000143</v>
      </c>
      <c r="Q46" s="10">
        <v>43428</v>
      </c>
      <c r="R46" s="11">
        <v>17</v>
      </c>
      <c r="S46" s="11" t="str">
        <f>""</f>
        <v/>
      </c>
      <c r="T46" s="10"/>
      <c r="U46" s="14">
        <v>58.918819999999997</v>
      </c>
      <c r="V46" s="14">
        <v>2.5335200000000002</v>
      </c>
      <c r="W46" s="14">
        <v>56.385300000000001</v>
      </c>
      <c r="X46" s="11">
        <v>235</v>
      </c>
      <c r="Y46" s="10">
        <v>43389</v>
      </c>
      <c r="Z46" s="11">
        <v>9845230920</v>
      </c>
      <c r="AA46" s="12" t="s">
        <v>189</v>
      </c>
      <c r="AB46" s="11" t="s">
        <v>190</v>
      </c>
      <c r="AC46" s="12" t="s">
        <v>191</v>
      </c>
      <c r="AD46" s="11" t="s">
        <v>50</v>
      </c>
      <c r="AE46" s="12" t="s">
        <v>51</v>
      </c>
      <c r="AF46" s="14">
        <f t="shared" si="0"/>
        <v>0.58918819999999994</v>
      </c>
      <c r="AG46" s="11" t="s">
        <v>74</v>
      </c>
    </row>
    <row r="47" spans="1:33" x14ac:dyDescent="0.2">
      <c r="A47" s="8">
        <v>6477</v>
      </c>
      <c r="B47" s="9" t="s">
        <v>186</v>
      </c>
      <c r="C47" s="10">
        <v>43389</v>
      </c>
      <c r="D47" s="11">
        <v>8</v>
      </c>
      <c r="E47" s="12" t="s">
        <v>34</v>
      </c>
      <c r="F47" s="12" t="s">
        <v>35</v>
      </c>
      <c r="G47" s="12" t="s">
        <v>35</v>
      </c>
      <c r="H47" s="12" t="s">
        <v>36</v>
      </c>
      <c r="I47" s="11" t="s">
        <v>192</v>
      </c>
      <c r="J47" s="12" t="s">
        <v>193</v>
      </c>
      <c r="K47" s="13" t="s">
        <v>83</v>
      </c>
      <c r="L47" s="11" t="str">
        <f>"000039"</f>
        <v>000039</v>
      </c>
      <c r="M47" s="10">
        <v>42814</v>
      </c>
      <c r="N47" s="11" t="str">
        <f>"000033"</f>
        <v>000033</v>
      </c>
      <c r="O47" s="10">
        <v>42879</v>
      </c>
      <c r="P47" s="11" t="str">
        <f>"000033"</f>
        <v>000033</v>
      </c>
      <c r="Q47" s="10">
        <v>42880</v>
      </c>
      <c r="R47" s="11">
        <v>17</v>
      </c>
      <c r="S47" s="11" t="str">
        <f>"006568"</f>
        <v>006568</v>
      </c>
      <c r="T47" s="10">
        <v>43383</v>
      </c>
      <c r="U47" s="14">
        <v>3.3969999999999998</v>
      </c>
      <c r="V47" s="14">
        <v>0.20721999999999999</v>
      </c>
      <c r="W47" s="14">
        <v>3.1897799999999998</v>
      </c>
      <c r="X47" s="11">
        <v>243</v>
      </c>
      <c r="Y47" s="10">
        <v>43389</v>
      </c>
      <c r="Z47" s="11">
        <v>9341423529</v>
      </c>
      <c r="AA47" s="12" t="s">
        <v>194</v>
      </c>
      <c r="AB47" s="11" t="s">
        <v>59</v>
      </c>
      <c r="AC47" s="12" t="s">
        <v>60</v>
      </c>
      <c r="AD47" s="11" t="s">
        <v>43</v>
      </c>
      <c r="AE47" s="12" t="s">
        <v>44</v>
      </c>
      <c r="AF47" s="14">
        <f t="shared" si="0"/>
        <v>3.397E-2</v>
      </c>
      <c r="AG47" s="11" t="s">
        <v>45</v>
      </c>
    </row>
    <row r="48" spans="1:33" x14ac:dyDescent="0.2">
      <c r="A48" s="8">
        <v>7367</v>
      </c>
      <c r="B48" s="9" t="s">
        <v>195</v>
      </c>
      <c r="C48" s="10">
        <v>43427</v>
      </c>
      <c r="D48" s="11">
        <v>8</v>
      </c>
      <c r="E48" s="12" t="s">
        <v>34</v>
      </c>
      <c r="F48" s="12" t="s">
        <v>35</v>
      </c>
      <c r="G48" s="12" t="s">
        <v>35</v>
      </c>
      <c r="H48" s="12" t="s">
        <v>36</v>
      </c>
      <c r="I48" s="11" t="s">
        <v>196</v>
      </c>
      <c r="J48" s="12" t="s">
        <v>197</v>
      </c>
      <c r="K48" s="13" t="s">
        <v>67</v>
      </c>
      <c r="L48" s="11" t="str">
        <f>"000089"</f>
        <v>000089</v>
      </c>
      <c r="M48" s="10">
        <v>43182</v>
      </c>
      <c r="N48" s="11" t="str">
        <f>"000120"</f>
        <v>000120</v>
      </c>
      <c r="O48" s="10">
        <v>43409</v>
      </c>
      <c r="P48" s="11" t="str">
        <f>"000120"</f>
        <v>000120</v>
      </c>
      <c r="Q48" s="10">
        <v>43409</v>
      </c>
      <c r="R48" s="11">
        <v>18</v>
      </c>
      <c r="S48" s="11" t="str">
        <f>"007527"</f>
        <v>007527</v>
      </c>
      <c r="T48" s="10">
        <v>43426</v>
      </c>
      <c r="U48" s="14">
        <v>149.03507999999999</v>
      </c>
      <c r="V48" s="14">
        <v>16.989999999999998</v>
      </c>
      <c r="W48" s="14">
        <v>132.04508000000001</v>
      </c>
      <c r="X48" s="11">
        <v>272</v>
      </c>
      <c r="Y48" s="10">
        <v>43427</v>
      </c>
      <c r="Z48" s="11">
        <v>9449863064</v>
      </c>
      <c r="AA48" s="12" t="s">
        <v>198</v>
      </c>
      <c r="AB48" s="11" t="s">
        <v>199</v>
      </c>
      <c r="AC48" s="12" t="s">
        <v>200</v>
      </c>
      <c r="AD48" s="11" t="s">
        <v>201</v>
      </c>
      <c r="AE48" s="12" t="s">
        <v>202</v>
      </c>
      <c r="AF48" s="14">
        <f t="shared" si="0"/>
        <v>1.4903507999999999</v>
      </c>
      <c r="AG48" s="11" t="s">
        <v>74</v>
      </c>
    </row>
    <row r="49" spans="1:33" x14ac:dyDescent="0.2">
      <c r="A49" s="8">
        <v>7653</v>
      </c>
      <c r="B49" s="9" t="s">
        <v>203</v>
      </c>
      <c r="C49" s="10">
        <v>43441</v>
      </c>
      <c r="D49" s="11">
        <v>8</v>
      </c>
      <c r="E49" s="12" t="s">
        <v>34</v>
      </c>
      <c r="F49" s="12" t="s">
        <v>35</v>
      </c>
      <c r="G49" s="12" t="s">
        <v>35</v>
      </c>
      <c r="H49" s="12" t="s">
        <v>36</v>
      </c>
      <c r="I49" s="11" t="s">
        <v>204</v>
      </c>
      <c r="J49" s="12" t="s">
        <v>205</v>
      </c>
      <c r="K49" s="13" t="s">
        <v>83</v>
      </c>
      <c r="L49" s="11" t="str">
        <f>"000117"</f>
        <v>000117</v>
      </c>
      <c r="M49" s="10">
        <v>43179</v>
      </c>
      <c r="N49" s="11" t="str">
        <f>"000031"</f>
        <v>000031</v>
      </c>
      <c r="O49" s="10">
        <v>43362</v>
      </c>
      <c r="P49" s="11" t="str">
        <f>"000109"</f>
        <v>000109</v>
      </c>
      <c r="Q49" s="10">
        <v>43370</v>
      </c>
      <c r="R49" s="11">
        <v>17</v>
      </c>
      <c r="S49" s="11" t="str">
        <f>"007681"</f>
        <v>007681</v>
      </c>
      <c r="T49" s="10">
        <v>43438</v>
      </c>
      <c r="U49" s="14">
        <v>5.6027300000000002</v>
      </c>
      <c r="V49" s="14">
        <v>0.11766</v>
      </c>
      <c r="W49" s="14">
        <v>5.4850700000000003</v>
      </c>
      <c r="X49" s="11">
        <v>287</v>
      </c>
      <c r="Y49" s="10">
        <v>43441</v>
      </c>
      <c r="Z49" s="11">
        <v>9448000937</v>
      </c>
      <c r="AA49" s="12" t="s">
        <v>206</v>
      </c>
      <c r="AB49" s="11" t="s">
        <v>153</v>
      </c>
      <c r="AC49" s="12" t="s">
        <v>154</v>
      </c>
      <c r="AD49" s="11" t="s">
        <v>50</v>
      </c>
      <c r="AE49" s="12" t="s">
        <v>51</v>
      </c>
      <c r="AF49" s="14">
        <f t="shared" si="0"/>
        <v>5.6027300000000002E-2</v>
      </c>
      <c r="AG49" s="11" t="s">
        <v>74</v>
      </c>
    </row>
    <row r="50" spans="1:33" x14ac:dyDescent="0.2">
      <c r="A50" s="8">
        <v>7851</v>
      </c>
      <c r="B50" s="9" t="s">
        <v>203</v>
      </c>
      <c r="C50" s="10">
        <v>43453</v>
      </c>
      <c r="D50" s="11">
        <v>8</v>
      </c>
      <c r="E50" s="12" t="s">
        <v>34</v>
      </c>
      <c r="F50" s="12" t="s">
        <v>35</v>
      </c>
      <c r="G50" s="12" t="s">
        <v>35</v>
      </c>
      <c r="H50" s="12" t="s">
        <v>36</v>
      </c>
      <c r="I50" s="11" t="s">
        <v>207</v>
      </c>
      <c r="J50" s="12" t="s">
        <v>208</v>
      </c>
      <c r="K50" s="13" t="s">
        <v>83</v>
      </c>
      <c r="L50" s="11" t="str">
        <f>"000016"</f>
        <v>000016</v>
      </c>
      <c r="M50" s="10">
        <v>43332</v>
      </c>
      <c r="N50" s="11" t="str">
        <f>"000066"</f>
        <v>000066</v>
      </c>
      <c r="O50" s="10">
        <v>43423</v>
      </c>
      <c r="P50" s="11" t="str">
        <f>"000102"</f>
        <v>000102</v>
      </c>
      <c r="Q50" s="10">
        <v>43423</v>
      </c>
      <c r="R50" s="11">
        <v>18</v>
      </c>
      <c r="S50" s="11" t="str">
        <f>"008055"</f>
        <v>008055</v>
      </c>
      <c r="T50" s="10">
        <v>43451</v>
      </c>
      <c r="U50" s="14">
        <v>9.9892900000000004</v>
      </c>
      <c r="V50" s="14">
        <v>1.25865</v>
      </c>
      <c r="W50" s="14">
        <v>8.7306399999999993</v>
      </c>
      <c r="X50" s="11">
        <v>296</v>
      </c>
      <c r="Y50" s="10">
        <v>43453</v>
      </c>
      <c r="Z50" s="11">
        <v>9449863065</v>
      </c>
      <c r="AA50" s="12" t="s">
        <v>209</v>
      </c>
      <c r="AB50" s="11" t="s">
        <v>210</v>
      </c>
      <c r="AC50" s="12" t="s">
        <v>211</v>
      </c>
      <c r="AD50" s="11" t="s">
        <v>43</v>
      </c>
      <c r="AE50" s="12" t="s">
        <v>44</v>
      </c>
      <c r="AF50" s="14">
        <f t="shared" si="0"/>
        <v>9.9892900000000007E-2</v>
      </c>
      <c r="AG50" s="11" t="s">
        <v>177</v>
      </c>
    </row>
    <row r="51" spans="1:33" x14ac:dyDescent="0.2">
      <c r="A51" s="8">
        <v>7852</v>
      </c>
      <c r="B51" s="9" t="s">
        <v>203</v>
      </c>
      <c r="C51" s="10">
        <v>43453</v>
      </c>
      <c r="D51" s="11">
        <v>8</v>
      </c>
      <c r="E51" s="12" t="s">
        <v>34</v>
      </c>
      <c r="F51" s="12" t="s">
        <v>35</v>
      </c>
      <c r="G51" s="12" t="s">
        <v>35</v>
      </c>
      <c r="H51" s="12" t="s">
        <v>36</v>
      </c>
      <c r="I51" s="11" t="s">
        <v>212</v>
      </c>
      <c r="J51" s="12" t="s">
        <v>213</v>
      </c>
      <c r="K51" s="13" t="s">
        <v>83</v>
      </c>
      <c r="L51" s="11" t="str">
        <f>"000017"</f>
        <v>000017</v>
      </c>
      <c r="M51" s="10">
        <v>43332</v>
      </c>
      <c r="N51" s="11" t="str">
        <f>"000067"</f>
        <v>000067</v>
      </c>
      <c r="O51" s="10">
        <v>43423</v>
      </c>
      <c r="P51" s="11" t="str">
        <f>"000103"</f>
        <v>000103</v>
      </c>
      <c r="Q51" s="10">
        <v>43423</v>
      </c>
      <c r="R51" s="11">
        <v>17</v>
      </c>
      <c r="S51" s="11" t="str">
        <f>"008056"</f>
        <v>008056</v>
      </c>
      <c r="T51" s="10">
        <v>43451</v>
      </c>
      <c r="U51" s="14">
        <v>24.992650000000001</v>
      </c>
      <c r="V51" s="14">
        <v>3.1490800000000001</v>
      </c>
      <c r="W51" s="14">
        <v>21.84357</v>
      </c>
      <c r="X51" s="11">
        <v>296</v>
      </c>
      <c r="Y51" s="10">
        <v>43453</v>
      </c>
      <c r="Z51" s="11">
        <v>9449863065</v>
      </c>
      <c r="AA51" s="12" t="s">
        <v>209</v>
      </c>
      <c r="AB51" s="11" t="s">
        <v>153</v>
      </c>
      <c r="AC51" s="12" t="s">
        <v>154</v>
      </c>
      <c r="AD51" s="11" t="s">
        <v>43</v>
      </c>
      <c r="AE51" s="12" t="s">
        <v>44</v>
      </c>
      <c r="AF51" s="14">
        <f t="shared" si="0"/>
        <v>0.24992650000000002</v>
      </c>
      <c r="AG51" s="11" t="s">
        <v>177</v>
      </c>
    </row>
    <row r="52" spans="1:33" x14ac:dyDescent="0.2">
      <c r="A52" s="8">
        <v>8080</v>
      </c>
      <c r="B52" s="9" t="s">
        <v>203</v>
      </c>
      <c r="C52" s="10">
        <v>43461</v>
      </c>
      <c r="D52" s="11">
        <v>8</v>
      </c>
      <c r="E52" s="12" t="s">
        <v>34</v>
      </c>
      <c r="F52" s="12" t="s">
        <v>35</v>
      </c>
      <c r="G52" s="12" t="s">
        <v>35</v>
      </c>
      <c r="H52" s="12" t="s">
        <v>36</v>
      </c>
      <c r="I52" s="11" t="s">
        <v>214</v>
      </c>
      <c r="J52" s="12" t="s">
        <v>215</v>
      </c>
      <c r="K52" s="13" t="s">
        <v>83</v>
      </c>
      <c r="L52" s="11" t="str">
        <f>"000032"</f>
        <v>000032</v>
      </c>
      <c r="M52" s="10">
        <v>43370</v>
      </c>
      <c r="N52" s="11" t="str">
        <f>"000076"</f>
        <v>000076</v>
      </c>
      <c r="O52" s="10">
        <v>43435</v>
      </c>
      <c r="P52" s="11" t="str">
        <f>"000112"</f>
        <v>000112</v>
      </c>
      <c r="Q52" s="10">
        <v>43435</v>
      </c>
      <c r="R52" s="11">
        <v>18</v>
      </c>
      <c r="S52" s="11" t="str">
        <f>"008238"</f>
        <v>008238</v>
      </c>
      <c r="T52" s="10">
        <v>43456</v>
      </c>
      <c r="U52" s="14">
        <v>49.981000000000002</v>
      </c>
      <c r="V52" s="14">
        <v>6.2976099999999997</v>
      </c>
      <c r="W52" s="14">
        <v>43.683390000000003</v>
      </c>
      <c r="X52" s="11">
        <v>305</v>
      </c>
      <c r="Y52" s="10">
        <v>43461</v>
      </c>
      <c r="Z52" s="11">
        <v>9449863065</v>
      </c>
      <c r="AA52" s="12" t="s">
        <v>216</v>
      </c>
      <c r="AB52" s="11" t="s">
        <v>210</v>
      </c>
      <c r="AC52" s="12" t="s">
        <v>211</v>
      </c>
      <c r="AD52" s="11" t="s">
        <v>43</v>
      </c>
      <c r="AE52" s="12" t="s">
        <v>44</v>
      </c>
      <c r="AF52" s="14">
        <f t="shared" si="0"/>
        <v>0.49981000000000003</v>
      </c>
      <c r="AG52" s="11" t="s">
        <v>177</v>
      </c>
    </row>
    <row r="53" spans="1:33" x14ac:dyDescent="0.2">
      <c r="A53" s="8">
        <v>8093</v>
      </c>
      <c r="B53" s="9" t="s">
        <v>203</v>
      </c>
      <c r="C53" s="10">
        <v>43462</v>
      </c>
      <c r="D53" s="11">
        <v>8</v>
      </c>
      <c r="E53" s="12" t="s">
        <v>34</v>
      </c>
      <c r="F53" s="12" t="s">
        <v>35</v>
      </c>
      <c r="G53" s="12" t="s">
        <v>35</v>
      </c>
      <c r="H53" s="12" t="s">
        <v>36</v>
      </c>
      <c r="I53" s="11" t="s">
        <v>217</v>
      </c>
      <c r="J53" s="12" t="s">
        <v>218</v>
      </c>
      <c r="K53" s="15" t="s">
        <v>88</v>
      </c>
      <c r="L53" s="11" t="str">
        <f>"00192 "</f>
        <v xml:space="preserve">00192 </v>
      </c>
      <c r="M53" s="10">
        <v>42802</v>
      </c>
      <c r="N53" s="11" t="str">
        <f>"000032"</f>
        <v>000032</v>
      </c>
      <c r="O53" s="10">
        <v>43124</v>
      </c>
      <c r="P53" s="11" t="str">
        <f>"000091"</f>
        <v>000091</v>
      </c>
      <c r="Q53" s="10">
        <v>43132</v>
      </c>
      <c r="R53" s="11">
        <v>17</v>
      </c>
      <c r="S53" s="11" t="str">
        <f>"008168"</f>
        <v>008168</v>
      </c>
      <c r="T53" s="10">
        <v>43455</v>
      </c>
      <c r="U53" s="14">
        <v>10.96092</v>
      </c>
      <c r="V53" s="14">
        <v>0.28267999999999999</v>
      </c>
      <c r="W53" s="14">
        <v>10.678240000000001</v>
      </c>
      <c r="X53" s="11">
        <v>306</v>
      </c>
      <c r="Y53" s="10">
        <v>43462</v>
      </c>
      <c r="Z53" s="11">
        <v>9886731269</v>
      </c>
      <c r="AA53" s="12" t="s">
        <v>54</v>
      </c>
      <c r="AB53" s="11" t="s">
        <v>90</v>
      </c>
      <c r="AC53" s="12" t="s">
        <v>91</v>
      </c>
      <c r="AD53" s="11" t="s">
        <v>50</v>
      </c>
      <c r="AE53" s="12" t="s">
        <v>51</v>
      </c>
      <c r="AF53" s="14">
        <f t="shared" si="0"/>
        <v>0.1096092</v>
      </c>
      <c r="AG53" s="11" t="s">
        <v>45</v>
      </c>
    </row>
    <row r="54" spans="1:33" x14ac:dyDescent="0.2">
      <c r="A54" s="8">
        <v>8667</v>
      </c>
      <c r="B54" s="9" t="s">
        <v>219</v>
      </c>
      <c r="C54" s="10">
        <v>43484</v>
      </c>
      <c r="D54" s="11">
        <v>8</v>
      </c>
      <c r="E54" s="12" t="s">
        <v>34</v>
      </c>
      <c r="F54" s="12" t="s">
        <v>35</v>
      </c>
      <c r="G54" s="12" t="s">
        <v>35</v>
      </c>
      <c r="H54" s="12" t="s">
        <v>36</v>
      </c>
      <c r="I54" s="11" t="s">
        <v>187</v>
      </c>
      <c r="J54" s="12" t="s">
        <v>188</v>
      </c>
      <c r="K54" s="13" t="s">
        <v>48</v>
      </c>
      <c r="L54" s="11" t="str">
        <f>"000020"</f>
        <v>000020</v>
      </c>
      <c r="M54" s="10">
        <v>43060</v>
      </c>
      <c r="N54" s="11" t="str">
        <f>"000045"</f>
        <v>000045</v>
      </c>
      <c r="O54" s="10">
        <v>43399</v>
      </c>
      <c r="P54" s="11" t="str">
        <f>"000143"</f>
        <v>000143</v>
      </c>
      <c r="Q54" s="10">
        <v>43428</v>
      </c>
      <c r="R54" s="11"/>
      <c r="S54" s="11" t="str">
        <f>"008806"</f>
        <v>008806</v>
      </c>
      <c r="T54" s="10">
        <v>43483</v>
      </c>
      <c r="U54" s="14">
        <v>99.368070000000003</v>
      </c>
      <c r="V54" s="14">
        <v>6.2630100000000004</v>
      </c>
      <c r="W54" s="14">
        <v>93.105059999999995</v>
      </c>
      <c r="X54" s="11">
        <v>329</v>
      </c>
      <c r="Y54" s="10">
        <v>43484</v>
      </c>
      <c r="Z54" s="11">
        <v>9845230920</v>
      </c>
      <c r="AA54" s="12" t="s">
        <v>189</v>
      </c>
      <c r="AB54" s="11" t="s">
        <v>190</v>
      </c>
      <c r="AC54" s="12" t="s">
        <v>191</v>
      </c>
      <c r="AD54" s="11" t="s">
        <v>50</v>
      </c>
      <c r="AE54" s="12" t="s">
        <v>51</v>
      </c>
      <c r="AF54" s="14">
        <f t="shared" si="0"/>
        <v>0.99368070000000008</v>
      </c>
      <c r="AG54" s="11" t="s">
        <v>74</v>
      </c>
    </row>
    <row r="55" spans="1:33" x14ac:dyDescent="0.2">
      <c r="A55" s="8">
        <v>9024</v>
      </c>
      <c r="B55" s="9" t="s">
        <v>220</v>
      </c>
      <c r="C55" s="10">
        <v>43503</v>
      </c>
      <c r="D55" s="11">
        <v>8</v>
      </c>
      <c r="E55" s="12" t="s">
        <v>34</v>
      </c>
      <c r="F55" s="12" t="s">
        <v>35</v>
      </c>
      <c r="G55" s="12" t="s">
        <v>35</v>
      </c>
      <c r="H55" s="12" t="s">
        <v>36</v>
      </c>
      <c r="I55" s="11" t="s">
        <v>221</v>
      </c>
      <c r="J55" s="12" t="s">
        <v>222</v>
      </c>
      <c r="K55" s="13" t="s">
        <v>48</v>
      </c>
      <c r="L55" s="11" t="str">
        <f>"000021"</f>
        <v>000021</v>
      </c>
      <c r="M55" s="10">
        <v>43068</v>
      </c>
      <c r="N55" s="11" t="str">
        <f>"000063"</f>
        <v>000063</v>
      </c>
      <c r="O55" s="10">
        <v>43488</v>
      </c>
      <c r="P55" s="11" t="str">
        <f>"000194"</f>
        <v>000194</v>
      </c>
      <c r="Q55" s="10">
        <v>43488</v>
      </c>
      <c r="R55" s="11"/>
      <c r="S55" s="11" t="str">
        <f>"009112"</f>
        <v>009112</v>
      </c>
      <c r="T55" s="10">
        <v>43502</v>
      </c>
      <c r="U55" s="14">
        <v>5.5439999999999996</v>
      </c>
      <c r="V55" s="14">
        <v>0.5544</v>
      </c>
      <c r="W55" s="14">
        <v>4.9896000000000003</v>
      </c>
      <c r="X55" s="11">
        <v>344</v>
      </c>
      <c r="Y55" s="10">
        <v>43503</v>
      </c>
      <c r="Z55" s="11">
        <v>9611644110</v>
      </c>
      <c r="AA55" s="12" t="s">
        <v>223</v>
      </c>
      <c r="AB55" s="11" t="s">
        <v>190</v>
      </c>
      <c r="AC55" s="12" t="s">
        <v>191</v>
      </c>
      <c r="AD55" s="11" t="s">
        <v>50</v>
      </c>
      <c r="AE55" s="12" t="s">
        <v>51</v>
      </c>
      <c r="AF55" s="14">
        <f t="shared" si="0"/>
        <v>5.5439999999999996E-2</v>
      </c>
      <c r="AG55" s="11" t="s">
        <v>74</v>
      </c>
    </row>
    <row r="56" spans="1:33" x14ac:dyDescent="0.2">
      <c r="A56" s="8">
        <v>9963</v>
      </c>
      <c r="B56" s="9" t="s">
        <v>224</v>
      </c>
      <c r="C56" s="10">
        <v>43552</v>
      </c>
      <c r="D56" s="11">
        <v>8</v>
      </c>
      <c r="E56" s="12" t="s">
        <v>34</v>
      </c>
      <c r="F56" s="12" t="s">
        <v>35</v>
      </c>
      <c r="G56" s="12" t="s">
        <v>35</v>
      </c>
      <c r="H56" s="12" t="s">
        <v>36</v>
      </c>
      <c r="I56" s="11" t="s">
        <v>225</v>
      </c>
      <c r="J56" s="12" t="s">
        <v>226</v>
      </c>
      <c r="K56" s="13" t="s">
        <v>48</v>
      </c>
      <c r="L56" s="11" t="str">
        <f>"000009"</f>
        <v>000009</v>
      </c>
      <c r="M56" s="10">
        <v>43468</v>
      </c>
      <c r="N56" s="11" t="str">
        <f>"000159"</f>
        <v>000159</v>
      </c>
      <c r="O56" s="10">
        <v>43504</v>
      </c>
      <c r="P56" s="11" t="str">
        <f>"000158"</f>
        <v>000158</v>
      </c>
      <c r="Q56" s="10">
        <v>43504</v>
      </c>
      <c r="R56" s="11"/>
      <c r="S56" s="11" t="str">
        <f>"010037"</f>
        <v>010037</v>
      </c>
      <c r="T56" s="10">
        <v>43551</v>
      </c>
      <c r="U56" s="14">
        <v>48.811990000000002</v>
      </c>
      <c r="V56" s="14">
        <v>5.3262</v>
      </c>
      <c r="W56" s="14">
        <v>43.485790000000001</v>
      </c>
      <c r="X56" s="11">
        <v>389</v>
      </c>
      <c r="Y56" s="10">
        <v>43552</v>
      </c>
      <c r="Z56" s="11">
        <v>9449863064</v>
      </c>
      <c r="AA56" s="12" t="s">
        <v>227</v>
      </c>
      <c r="AB56" s="11" t="s">
        <v>228</v>
      </c>
      <c r="AC56" s="12" t="s">
        <v>229</v>
      </c>
      <c r="AD56" s="11" t="s">
        <v>201</v>
      </c>
      <c r="AE56" s="12" t="s">
        <v>202</v>
      </c>
      <c r="AF56" s="14">
        <f t="shared" si="0"/>
        <v>0.4881199</v>
      </c>
      <c r="AG56" s="11" t="s">
        <v>177</v>
      </c>
    </row>
    <row r="57" spans="1:33" x14ac:dyDescent="0.2">
      <c r="A57" s="8">
        <v>10001</v>
      </c>
      <c r="B57" s="9" t="s">
        <v>224</v>
      </c>
      <c r="C57" s="10">
        <v>43552</v>
      </c>
      <c r="D57" s="11">
        <v>8</v>
      </c>
      <c r="E57" s="12" t="s">
        <v>34</v>
      </c>
      <c r="F57" s="12" t="s">
        <v>35</v>
      </c>
      <c r="G57" s="12" t="s">
        <v>35</v>
      </c>
      <c r="H57" s="12" t="s">
        <v>36</v>
      </c>
      <c r="I57" s="11" t="s">
        <v>230</v>
      </c>
      <c r="J57" s="12" t="s">
        <v>231</v>
      </c>
      <c r="K57" s="13" t="s">
        <v>83</v>
      </c>
      <c r="L57" s="11" t="str">
        <f>"000076"</f>
        <v>000076</v>
      </c>
      <c r="M57" s="10">
        <v>42895</v>
      </c>
      <c r="N57" s="11" t="str">
        <f>"000052"</f>
        <v>000052</v>
      </c>
      <c r="O57" s="10">
        <v>42916</v>
      </c>
      <c r="P57" s="11" t="str">
        <f>"000175"</f>
        <v>000175</v>
      </c>
      <c r="Q57" s="10">
        <v>42916</v>
      </c>
      <c r="R57" s="11"/>
      <c r="S57" s="11" t="str">
        <f>"010063"</f>
        <v>010063</v>
      </c>
      <c r="T57" s="10">
        <v>43552</v>
      </c>
      <c r="U57" s="14">
        <v>9.0008199999999992</v>
      </c>
      <c r="V57" s="14">
        <v>0.64803999999999995</v>
      </c>
      <c r="W57" s="14">
        <v>8.3527799999999992</v>
      </c>
      <c r="X57" s="11">
        <v>390</v>
      </c>
      <c r="Y57" s="10">
        <v>43552</v>
      </c>
      <c r="Z57" s="11">
        <v>8904465835</v>
      </c>
      <c r="AA57" s="12" t="s">
        <v>232</v>
      </c>
      <c r="AB57" s="11" t="s">
        <v>59</v>
      </c>
      <c r="AC57" s="12" t="s">
        <v>60</v>
      </c>
      <c r="AD57" s="11" t="s">
        <v>50</v>
      </c>
      <c r="AE57" s="12" t="s">
        <v>51</v>
      </c>
      <c r="AF57" s="14">
        <f t="shared" si="0"/>
        <v>9.0008199999999997E-2</v>
      </c>
      <c r="AG57" s="11" t="s">
        <v>45</v>
      </c>
    </row>
    <row r="58" spans="1:33" x14ac:dyDescent="0.2">
      <c r="A58" s="8">
        <v>10003</v>
      </c>
      <c r="B58" s="9" t="s">
        <v>224</v>
      </c>
      <c r="C58" s="10">
        <v>43552</v>
      </c>
      <c r="D58" s="11">
        <v>8</v>
      </c>
      <c r="E58" s="12" t="s">
        <v>34</v>
      </c>
      <c r="F58" s="12" t="s">
        <v>35</v>
      </c>
      <c r="G58" s="12" t="s">
        <v>35</v>
      </c>
      <c r="H58" s="12" t="s">
        <v>36</v>
      </c>
      <c r="I58" s="11" t="s">
        <v>233</v>
      </c>
      <c r="J58" s="12" t="s">
        <v>234</v>
      </c>
      <c r="K58" s="13" t="s">
        <v>48</v>
      </c>
      <c r="L58" s="11" t="str">
        <f>"000202"</f>
        <v>000202</v>
      </c>
      <c r="M58" s="10">
        <v>42802</v>
      </c>
      <c r="N58" s="11" t="str">
        <f>"000046"</f>
        <v>000046</v>
      </c>
      <c r="O58" s="10">
        <v>42916</v>
      </c>
      <c r="P58" s="11" t="str">
        <f>"000177"</f>
        <v>000177</v>
      </c>
      <c r="Q58" s="10">
        <v>42916</v>
      </c>
      <c r="R58" s="11"/>
      <c r="S58" s="11" t="str">
        <f>"010065"</f>
        <v>010065</v>
      </c>
      <c r="T58" s="10">
        <v>43552</v>
      </c>
      <c r="U58" s="14">
        <v>18.70879</v>
      </c>
      <c r="V58" s="14">
        <v>1.36575</v>
      </c>
      <c r="W58" s="14">
        <v>17.343039999999998</v>
      </c>
      <c r="X58" s="11">
        <v>390</v>
      </c>
      <c r="Y58" s="10">
        <v>43552</v>
      </c>
      <c r="Z58" s="11">
        <v>9845641836</v>
      </c>
      <c r="AA58" s="12" t="s">
        <v>235</v>
      </c>
      <c r="AB58" s="11" t="s">
        <v>59</v>
      </c>
      <c r="AC58" s="12" t="s">
        <v>60</v>
      </c>
      <c r="AD58" s="11" t="s">
        <v>50</v>
      </c>
      <c r="AE58" s="12" t="s">
        <v>51</v>
      </c>
      <c r="AF58" s="14">
        <f t="shared" si="0"/>
        <v>0.1870879</v>
      </c>
      <c r="AG58" s="11" t="s">
        <v>45</v>
      </c>
    </row>
    <row r="59" spans="1:33" x14ac:dyDescent="0.2">
      <c r="A59" s="8">
        <v>10004</v>
      </c>
      <c r="B59" s="9" t="s">
        <v>224</v>
      </c>
      <c r="C59" s="10">
        <v>43552</v>
      </c>
      <c r="D59" s="11">
        <v>8</v>
      </c>
      <c r="E59" s="12" t="s">
        <v>34</v>
      </c>
      <c r="F59" s="12" t="s">
        <v>35</v>
      </c>
      <c r="G59" s="12" t="s">
        <v>35</v>
      </c>
      <c r="H59" s="12" t="s">
        <v>36</v>
      </c>
      <c r="I59" s="11" t="s">
        <v>236</v>
      </c>
      <c r="J59" s="12" t="s">
        <v>237</v>
      </c>
      <c r="K59" s="13" t="s">
        <v>48</v>
      </c>
      <c r="L59" s="11" t="str">
        <f>"000030"</f>
        <v>000030</v>
      </c>
      <c r="M59" s="10">
        <v>42844</v>
      </c>
      <c r="N59" s="11" t="str">
        <f>"000047"</f>
        <v>000047</v>
      </c>
      <c r="O59" s="10">
        <v>42916</v>
      </c>
      <c r="P59" s="11" t="str">
        <f>"000178"</f>
        <v>000178</v>
      </c>
      <c r="Q59" s="10">
        <v>42916</v>
      </c>
      <c r="R59" s="11"/>
      <c r="S59" s="11" t="str">
        <f>"010066"</f>
        <v>010066</v>
      </c>
      <c r="T59" s="10">
        <v>43552</v>
      </c>
      <c r="U59" s="14">
        <v>27.103120000000001</v>
      </c>
      <c r="V59" s="14">
        <v>1.9785200000000001</v>
      </c>
      <c r="W59" s="14">
        <v>25.124600000000001</v>
      </c>
      <c r="X59" s="11">
        <v>390</v>
      </c>
      <c r="Y59" s="10">
        <v>43552</v>
      </c>
      <c r="Z59" s="11">
        <v>9845641836</v>
      </c>
      <c r="AA59" s="12" t="s">
        <v>235</v>
      </c>
      <c r="AB59" s="11" t="s">
        <v>59</v>
      </c>
      <c r="AC59" s="12" t="s">
        <v>60</v>
      </c>
      <c r="AD59" s="11" t="s">
        <v>50</v>
      </c>
      <c r="AE59" s="12" t="s">
        <v>51</v>
      </c>
      <c r="AF59" s="14">
        <f t="shared" si="0"/>
        <v>0.27103120000000003</v>
      </c>
      <c r="AG59" s="11" t="s">
        <v>45</v>
      </c>
    </row>
    <row r="60" spans="1:33" x14ac:dyDescent="0.2">
      <c r="A60" s="8">
        <v>10006</v>
      </c>
      <c r="B60" s="9" t="s">
        <v>224</v>
      </c>
      <c r="C60" s="10">
        <v>43552</v>
      </c>
      <c r="D60" s="11">
        <v>8</v>
      </c>
      <c r="E60" s="12" t="s">
        <v>34</v>
      </c>
      <c r="F60" s="12" t="s">
        <v>35</v>
      </c>
      <c r="G60" s="12" t="s">
        <v>35</v>
      </c>
      <c r="H60" s="12" t="s">
        <v>36</v>
      </c>
      <c r="I60" s="11" t="s">
        <v>238</v>
      </c>
      <c r="J60" s="12" t="s">
        <v>239</v>
      </c>
      <c r="K60" s="13" t="s">
        <v>83</v>
      </c>
      <c r="L60" s="11" t="str">
        <f>"000031"</f>
        <v>000031</v>
      </c>
      <c r="M60" s="10">
        <v>42844</v>
      </c>
      <c r="N60" s="11" t="str">
        <f>"000049"</f>
        <v>000049</v>
      </c>
      <c r="O60" s="10">
        <v>42916</v>
      </c>
      <c r="P60" s="11" t="str">
        <f>"000179"</f>
        <v>000179</v>
      </c>
      <c r="Q60" s="10">
        <v>42916</v>
      </c>
      <c r="R60" s="11"/>
      <c r="S60" s="11" t="str">
        <f>"010068"</f>
        <v>010068</v>
      </c>
      <c r="T60" s="10">
        <v>43552</v>
      </c>
      <c r="U60" s="14">
        <v>27.185580000000002</v>
      </c>
      <c r="V60" s="14">
        <v>1.9845600000000001</v>
      </c>
      <c r="W60" s="14">
        <v>25.20102</v>
      </c>
      <c r="X60" s="11">
        <v>390</v>
      </c>
      <c r="Y60" s="10">
        <v>43552</v>
      </c>
      <c r="Z60" s="11">
        <v>9845641836</v>
      </c>
      <c r="AA60" s="12" t="s">
        <v>235</v>
      </c>
      <c r="AB60" s="11" t="s">
        <v>59</v>
      </c>
      <c r="AC60" s="12" t="s">
        <v>60</v>
      </c>
      <c r="AD60" s="11" t="s">
        <v>50</v>
      </c>
      <c r="AE60" s="12" t="s">
        <v>51</v>
      </c>
      <c r="AF60" s="14">
        <f t="shared" si="0"/>
        <v>0.27185580000000004</v>
      </c>
      <c r="AG60" s="11" t="s">
        <v>45</v>
      </c>
    </row>
    <row r="61" spans="1:33" x14ac:dyDescent="0.2">
      <c r="A61" s="8">
        <v>10021</v>
      </c>
      <c r="B61" s="9" t="s">
        <v>224</v>
      </c>
      <c r="C61" s="10">
        <v>43552</v>
      </c>
      <c r="D61" s="11">
        <v>8</v>
      </c>
      <c r="E61" s="12" t="s">
        <v>34</v>
      </c>
      <c r="F61" s="12" t="s">
        <v>35</v>
      </c>
      <c r="G61" s="12" t="s">
        <v>35</v>
      </c>
      <c r="H61" s="12" t="s">
        <v>36</v>
      </c>
      <c r="I61" s="11" t="s">
        <v>240</v>
      </c>
      <c r="J61" s="12" t="s">
        <v>241</v>
      </c>
      <c r="K61" s="13" t="s">
        <v>83</v>
      </c>
      <c r="L61" s="11" t="str">
        <f>"000225"</f>
        <v>000225</v>
      </c>
      <c r="M61" s="10">
        <v>42809</v>
      </c>
      <c r="N61" s="11" t="str">
        <f>"000048"</f>
        <v>000048</v>
      </c>
      <c r="O61" s="10">
        <v>42916</v>
      </c>
      <c r="P61" s="11" t="str">
        <f>"000180"</f>
        <v>000180</v>
      </c>
      <c r="Q61" s="10">
        <v>42916</v>
      </c>
      <c r="R61" s="11"/>
      <c r="S61" s="11" t="str">
        <f>"010083"</f>
        <v>010083</v>
      </c>
      <c r="T61" s="10">
        <v>43552</v>
      </c>
      <c r="U61" s="14">
        <v>5.3189099999999998</v>
      </c>
      <c r="V61" s="14">
        <v>0.32446000000000003</v>
      </c>
      <c r="W61" s="14">
        <v>4.9944499999999996</v>
      </c>
      <c r="X61" s="11">
        <v>390</v>
      </c>
      <c r="Y61" s="10">
        <v>43552</v>
      </c>
      <c r="Z61" s="11">
        <v>9845641836</v>
      </c>
      <c r="AA61" s="12" t="s">
        <v>242</v>
      </c>
      <c r="AB61" s="11" t="s">
        <v>59</v>
      </c>
      <c r="AC61" s="12" t="s">
        <v>60</v>
      </c>
      <c r="AD61" s="11" t="s">
        <v>50</v>
      </c>
      <c r="AE61" s="12" t="s">
        <v>51</v>
      </c>
      <c r="AF61" s="14">
        <f t="shared" si="0"/>
        <v>5.3189099999999996E-2</v>
      </c>
      <c r="AG61" s="11" t="s">
        <v>45</v>
      </c>
    </row>
    <row r="62" spans="1:33" x14ac:dyDescent="0.2">
      <c r="A62" s="8">
        <v>10023</v>
      </c>
      <c r="B62" s="9" t="s">
        <v>224</v>
      </c>
      <c r="C62" s="10">
        <v>43552</v>
      </c>
      <c r="D62" s="11">
        <v>8</v>
      </c>
      <c r="E62" s="12" t="s">
        <v>34</v>
      </c>
      <c r="F62" s="12" t="s">
        <v>35</v>
      </c>
      <c r="G62" s="12" t="s">
        <v>35</v>
      </c>
      <c r="H62" s="12" t="s">
        <v>36</v>
      </c>
      <c r="I62" s="11" t="s">
        <v>243</v>
      </c>
      <c r="J62" s="12" t="s">
        <v>244</v>
      </c>
      <c r="K62" s="13" t="s">
        <v>245</v>
      </c>
      <c r="L62" s="11" t="str">
        <f>"000201"</f>
        <v>000201</v>
      </c>
      <c r="M62" s="10">
        <v>42802</v>
      </c>
      <c r="N62" s="11" t="str">
        <f>"000044"</f>
        <v>000044</v>
      </c>
      <c r="O62" s="10">
        <v>42916</v>
      </c>
      <c r="P62" s="11" t="str">
        <f>"000181"</f>
        <v>000181</v>
      </c>
      <c r="Q62" s="10">
        <v>42916</v>
      </c>
      <c r="R62" s="11"/>
      <c r="S62" s="11" t="str">
        <f>"010085"</f>
        <v>010085</v>
      </c>
      <c r="T62" s="10">
        <v>43552</v>
      </c>
      <c r="U62" s="14">
        <v>12.52852</v>
      </c>
      <c r="V62" s="14">
        <v>0.76424999999999998</v>
      </c>
      <c r="W62" s="14">
        <v>11.76427</v>
      </c>
      <c r="X62" s="11">
        <v>390</v>
      </c>
      <c r="Y62" s="10">
        <v>43552</v>
      </c>
      <c r="Z62" s="11">
        <v>9845641836</v>
      </c>
      <c r="AA62" s="12" t="s">
        <v>235</v>
      </c>
      <c r="AB62" s="11" t="s">
        <v>59</v>
      </c>
      <c r="AC62" s="12" t="s">
        <v>60</v>
      </c>
      <c r="AD62" s="11" t="s">
        <v>50</v>
      </c>
      <c r="AE62" s="12" t="s">
        <v>51</v>
      </c>
      <c r="AF62" s="14">
        <f t="shared" si="0"/>
        <v>0.12528520000000001</v>
      </c>
      <c r="AG62" s="11" t="s">
        <v>45</v>
      </c>
    </row>
    <row r="63" spans="1:33" x14ac:dyDescent="0.2">
      <c r="A63" s="8">
        <v>10025</v>
      </c>
      <c r="B63" s="9" t="s">
        <v>224</v>
      </c>
      <c r="C63" s="10">
        <v>43552</v>
      </c>
      <c r="D63" s="11">
        <v>8</v>
      </c>
      <c r="E63" s="12" t="s">
        <v>34</v>
      </c>
      <c r="F63" s="12" t="s">
        <v>35</v>
      </c>
      <c r="G63" s="12" t="s">
        <v>35</v>
      </c>
      <c r="H63" s="12" t="s">
        <v>36</v>
      </c>
      <c r="I63" s="11" t="s">
        <v>246</v>
      </c>
      <c r="J63" s="12" t="s">
        <v>247</v>
      </c>
      <c r="K63" s="13" t="s">
        <v>83</v>
      </c>
      <c r="L63" s="11" t="str">
        <f>"000266"</f>
        <v>000266</v>
      </c>
      <c r="M63" s="10">
        <v>42825</v>
      </c>
      <c r="N63" s="11" t="str">
        <f>"000045"</f>
        <v>000045</v>
      </c>
      <c r="O63" s="10">
        <v>42916</v>
      </c>
      <c r="P63" s="11" t="str">
        <f>"000182"</f>
        <v>000182</v>
      </c>
      <c r="Q63" s="10">
        <v>42916</v>
      </c>
      <c r="R63" s="11"/>
      <c r="S63" s="11" t="str">
        <f>"010087"</f>
        <v>010087</v>
      </c>
      <c r="T63" s="10">
        <v>43552</v>
      </c>
      <c r="U63" s="14">
        <v>5.3643400000000003</v>
      </c>
      <c r="V63" s="14">
        <v>0.32721</v>
      </c>
      <c r="W63" s="14">
        <v>5.0371300000000003</v>
      </c>
      <c r="X63" s="11">
        <v>390</v>
      </c>
      <c r="Y63" s="10">
        <v>43552</v>
      </c>
      <c r="Z63" s="11">
        <v>9845641836</v>
      </c>
      <c r="AA63" s="12" t="s">
        <v>242</v>
      </c>
      <c r="AB63" s="11" t="s">
        <v>59</v>
      </c>
      <c r="AC63" s="12" t="s">
        <v>60</v>
      </c>
      <c r="AD63" s="11" t="s">
        <v>50</v>
      </c>
      <c r="AE63" s="12" t="s">
        <v>51</v>
      </c>
      <c r="AF63" s="14">
        <f t="shared" si="0"/>
        <v>5.3643400000000001E-2</v>
      </c>
      <c r="AG63" s="11" t="s">
        <v>45</v>
      </c>
    </row>
    <row r="64" spans="1:33" x14ac:dyDescent="0.2">
      <c r="A64" s="8">
        <v>10110</v>
      </c>
      <c r="B64" s="9" t="s">
        <v>224</v>
      </c>
      <c r="C64" s="10">
        <v>43552</v>
      </c>
      <c r="D64" s="11">
        <v>8</v>
      </c>
      <c r="E64" s="12" t="s">
        <v>34</v>
      </c>
      <c r="F64" s="12" t="s">
        <v>35</v>
      </c>
      <c r="G64" s="12" t="s">
        <v>35</v>
      </c>
      <c r="H64" s="12" t="s">
        <v>36</v>
      </c>
      <c r="I64" s="11" t="s">
        <v>248</v>
      </c>
      <c r="J64" s="12" t="s">
        <v>249</v>
      </c>
      <c r="K64" s="13" t="s">
        <v>99</v>
      </c>
      <c r="L64" s="11" t="str">
        <f>"000061"</f>
        <v>000061</v>
      </c>
      <c r="M64" s="10">
        <v>42861</v>
      </c>
      <c r="N64" s="11" t="str">
        <f>"000022"</f>
        <v>000022</v>
      </c>
      <c r="O64" s="10">
        <v>43067</v>
      </c>
      <c r="P64" s="11" t="str">
        <f>"000063"</f>
        <v>000063</v>
      </c>
      <c r="Q64" s="10">
        <v>43083</v>
      </c>
      <c r="R64" s="11"/>
      <c r="S64" s="11" t="str">
        <f>"010145"</f>
        <v>010145</v>
      </c>
      <c r="T64" s="10">
        <v>43552</v>
      </c>
      <c r="U64" s="14">
        <v>10.9948</v>
      </c>
      <c r="V64" s="14">
        <v>0.34804000000000002</v>
      </c>
      <c r="W64" s="14">
        <v>10.64676</v>
      </c>
      <c r="X64" s="11">
        <v>392</v>
      </c>
      <c r="Y64" s="10">
        <v>43552</v>
      </c>
      <c r="Z64" s="11">
        <v>9845641836</v>
      </c>
      <c r="AA64" s="12" t="s">
        <v>235</v>
      </c>
      <c r="AB64" s="11" t="s">
        <v>59</v>
      </c>
      <c r="AC64" s="12" t="s">
        <v>60</v>
      </c>
      <c r="AD64" s="11" t="s">
        <v>50</v>
      </c>
      <c r="AE64" s="12" t="s">
        <v>51</v>
      </c>
      <c r="AF64" s="14">
        <f t="shared" si="0"/>
        <v>0.10994799999999999</v>
      </c>
      <c r="AG64"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2019-06-12T10:57:27Z</dcterms:modified>
</cp:coreProperties>
</file>