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<sst xmlns="http://schemas.openxmlformats.org/spreadsheetml/2006/main" count="733" uniqueCount="191">
  <si>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</si>
  <si>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</si>
  <si>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</si>
  <si>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</si>
  <si>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</si>
  <si>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</si>
  <si>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</si>
  <si>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</si>
  <si>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</si>
  <si>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</si>
  <si>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</si>
  <si>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</si>
  <si>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</si>
  <si>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</si>
  <si>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</si>
  <si>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</si>
  <si>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</si>
  <si>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</si>
  <si>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</si>
  <si>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</si>
  <si>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</si>
  <si>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</si>
  <si>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</si>
  <si>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</si>
  <si>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</si>
  <si>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</si>
  <si>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</si>
  <si>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</si>
  <si>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</si>
  <si>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</si>
  <si>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</si>
  <si>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</si>
  <si>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</si>
  <si>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</si>
  <si>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Vignana Nagara</t>
  </si>
  <si>
    <t>HAL Airport</t>
  </si>
  <si>
    <t>K R Puram</t>
  </si>
  <si>
    <t>Mahadeva Pura</t>
  </si>
  <si>
    <t>081-16-000034</t>
  </si>
  <si>
    <t xml:space="preserve">Construction of deck slab culverts and providing covering slabs over an existing drain in Ward No. 81, Vignananagara </t>
  </si>
  <si>
    <t>Footpaths &amp; Walkability</t>
  </si>
  <si>
    <t>Alcon Consulting Engineers (India) Pvt, Ltd</t>
  </si>
  <si>
    <t>P3089</t>
  </si>
  <si>
    <t>Special Development works in 7 CMC and 1 TMC area in BBMP</t>
  </si>
  <si>
    <t>ddo538</t>
  </si>
  <si>
    <t xml:space="preserve"> Assistant Executive Engineer HAL Airport Subdivision Mahadevapura Zone</t>
  </si>
  <si>
    <t>Pending</t>
  </si>
  <si>
    <t>081-16-000033</t>
  </si>
  <si>
    <t xml:space="preserve">Improvements and Asphalting to Cross Roads and Main Roads in Ward No. 81, Vignananagara </t>
  </si>
  <si>
    <t>Roads &amp; Drivablility</t>
  </si>
  <si>
    <t>Alcon Consulting Engineers (India) Pvt. Ltd.</t>
  </si>
  <si>
    <t>081-17-000002</t>
  </si>
  <si>
    <t>Providing and laying Balance Children play Equipments at Govt land near Tata Share Wood Ramaiah Reddy B sector in Ward-81, Vignananganra.</t>
  </si>
  <si>
    <t>Trees, Parks &amp; Playgrounds</t>
  </si>
  <si>
    <t>Sri Sathya Ganapathi Constructions,</t>
  </si>
  <si>
    <t>P3158</t>
  </si>
  <si>
    <t>SIP Infrastructure Project works</t>
  </si>
  <si>
    <t>081-17-000003</t>
  </si>
  <si>
    <t>Providing and laying childern equipments Brundavan layout park(Doddanakundi lake side), in Ward-81, Vignananganra.</t>
  </si>
  <si>
    <t>Lakes</t>
  </si>
  <si>
    <t xml:space="preserve">Sri Sathya Ganapathi Constructions, </t>
  </si>
  <si>
    <t>081-17-000060</t>
  </si>
  <si>
    <t>Improvements and Asphalting to roads at Ranganatha Layout, Mahadevapura Village, Shivaganga Layout, and other areas in ward no 81 of HAL Airport sub division</t>
  </si>
  <si>
    <t>Sri. S. Hari Prasad</t>
  </si>
  <si>
    <t>Spill Over</t>
  </si>
  <si>
    <t>081-17-000059</t>
  </si>
  <si>
    <t>Improvements and Asphalting to roads at Nandini Layout, SRR Layout, Sathya Colony, Giddadamma Layout MEG Layout and other areas in ward no 81 of HAL Airport sub division</t>
  </si>
  <si>
    <t>081-17-000063</t>
  </si>
  <si>
    <t>Improvements and Asphalting to roads at Brundavana Estate Kempanna layaout, Ramaiah reddy A Sector, B Sector and other areas in ward no 81 of HAL Airport sub division</t>
  </si>
  <si>
    <t>081-17-000064</t>
  </si>
  <si>
    <t>Improvements and Asphalting to roads at Narayanappa Layout, Kushal Nagara, Abbaiah reddy layout and other areas in ward no 81 of HAL Airport sub division</t>
  </si>
  <si>
    <t>081-15-000017</t>
  </si>
  <si>
    <t xml:space="preserve">Improvements and Asphalting to Cross roads of Veerabhadranagara 1st Stage in Ward No 81 </t>
  </si>
  <si>
    <t>S Sampangi</t>
  </si>
  <si>
    <t>P1771</t>
  </si>
  <si>
    <t>Zone Works - POW Works</t>
  </si>
  <si>
    <t>081-15-000024</t>
  </si>
  <si>
    <t xml:space="preserve">Improvements and Asphalting to roads at Kalappa Layout New Extension Raghavenrda Colony in Ward No-81 </t>
  </si>
  <si>
    <t xml:space="preserve">KRIDL </t>
  </si>
  <si>
    <t>P3075</t>
  </si>
  <si>
    <t>Special comprehensive development works in Bangalore city (Bangalore city in charge Minister Discretionary Grants)</t>
  </si>
  <si>
    <t>May</t>
  </si>
  <si>
    <t>081-17-000061</t>
  </si>
  <si>
    <t>Improvements and Asphalting to roads at LBS Nagara Brundavana Layout, and other areas in ward no 81 of HAL Airport sub division</t>
  </si>
  <si>
    <t xml:space="preserve">Sri S Hari Prasad ( MAA India Projects) </t>
  </si>
  <si>
    <t>Current</t>
  </si>
  <si>
    <t>June</t>
  </si>
  <si>
    <t>081-14-000026</t>
  </si>
  <si>
    <t xml:space="preserve">Improvements to roads and Costruction of Drains at Reddy Palya and Nellurpara Colony in Ward No-81 </t>
  </si>
  <si>
    <t>KRIDL</t>
  </si>
  <si>
    <t>P2434</t>
  </si>
  <si>
    <t>Development works for Bangalore City</t>
  </si>
  <si>
    <t>081-15-000022</t>
  </si>
  <si>
    <t xml:space="preserve">Improvements and Asphalting balance roads at Vignananagar in Ward No-81 </t>
  </si>
  <si>
    <t>July</t>
  </si>
  <si>
    <t>081-16-000002</t>
  </si>
  <si>
    <t>Providing Improvements to Street lighting in HAL Sub-Division Ward no 81 87 56 area</t>
  </si>
  <si>
    <t xml:space="preserve">M/S KARTHIK ELECTRICALS C KANTHARAJU </t>
  </si>
  <si>
    <t>P3106</t>
  </si>
  <si>
    <t>Nagarothana Works</t>
  </si>
  <si>
    <t>ddo365</t>
  </si>
  <si>
    <t xml:space="preserve"> Executive Engineer Electrical Mahadevapura Zone</t>
  </si>
  <si>
    <t>081-15-000054</t>
  </si>
  <si>
    <t xml:space="preserve">Emrgeny Repairs and Reconstruction of Rain Water Drains In Ward No-81 </t>
  </si>
  <si>
    <t>Rain Water Harvestin</t>
  </si>
  <si>
    <t>081-15-000051</t>
  </si>
  <si>
    <t xml:space="preserve">Improvements and Asphalting to Balanace Roads of Venkateshwara Layout Near Mahadevapura in Ward No-81 </t>
  </si>
  <si>
    <t>081-14-000022</t>
  </si>
  <si>
    <t xml:space="preserve">Improvements and Asphalting to Balance roads. at Kallappa Layout in Ward No-81 </t>
  </si>
  <si>
    <t>081-15-000047</t>
  </si>
  <si>
    <t xml:space="preserve">Improvements and Asphalting to Balance roads of Akash nagar and Thirumala Apartment Road in Ward No-81 </t>
  </si>
  <si>
    <t>081-15-000052</t>
  </si>
  <si>
    <t xml:space="preserve">Improvements and Asphalting to Balanace Roads of Kondappa Layout Near Railway Gate in Ward No-81 </t>
  </si>
  <si>
    <t>081-16-000001</t>
  </si>
  <si>
    <t>Operation and maintanance of street light fittings in ward no 81 Vignananagar Mahadevapura Zone M17</t>
  </si>
  <si>
    <t>M/S KARTHIK ELECTRICALS C KANTHARAJU</t>
  </si>
  <si>
    <t>P0300</t>
  </si>
  <si>
    <t>M and R to Street Lights - Replacement of Burnt Bulbs etc. (Package)</t>
  </si>
  <si>
    <t>August</t>
  </si>
  <si>
    <t>081-14-000031</t>
  </si>
  <si>
    <t xml:space="preserve">Improvements and Asphalting to roads at Sai Baba Layout in Ward No-81 </t>
  </si>
  <si>
    <t>081-14-000036</t>
  </si>
  <si>
    <t xml:space="preserve">Improvements and Asphalting to roads at Lakshmi Layout and Balance Roads of Giddamma Layout (Akashnagara) in Ward No-81 </t>
  </si>
  <si>
    <t>081-17-000035</t>
  </si>
  <si>
    <t>Construction of First and second floor Multipurpose building at MEG Layout Akashnagara in ward no 81 of HAL Sub Division</t>
  </si>
  <si>
    <t>Other Ward Works</t>
  </si>
  <si>
    <t>Nirathi Sri Constructions,C.Srinivasulu Reddy</t>
  </si>
  <si>
    <t>P3111</t>
  </si>
  <si>
    <t>State Finance Commission Untied Grant Works</t>
  </si>
  <si>
    <t>081-14-000039</t>
  </si>
  <si>
    <t>Improvements to road drains and construction of footpath to LBS Nagara Ist main road and 3rd Main road upto BEML Hospital via Ayyappa colony and Utkarsh Park road</t>
  </si>
  <si>
    <t>P1924</t>
  </si>
  <si>
    <t>Maintenance of Roads and Flyovers</t>
  </si>
  <si>
    <t>081-17-000019</t>
  </si>
  <si>
    <t>Providing Additional Streetlights to street lighting system in Vignananagara ward no 81</t>
  </si>
  <si>
    <t>Karthik Electricals (Prop. Sri. C.Kantharaju)</t>
  </si>
  <si>
    <t>P2415</t>
  </si>
  <si>
    <t>Reserve fund for TandF Committee</t>
  </si>
  <si>
    <t>081-16-000039</t>
  </si>
  <si>
    <t>Construction of cc roads and drains at Kumbar kote in ward 81 Vignanagar</t>
  </si>
  <si>
    <t>P0190</t>
  </si>
  <si>
    <t>Works sanctioned by Hon Mayor</t>
  </si>
  <si>
    <t>September</t>
  </si>
  <si>
    <t>081-17-000030</t>
  </si>
  <si>
    <t>Improvement and Construction of Road side drain at Kalappa Layout in Ward No 81 Vignananagara</t>
  </si>
  <si>
    <t>S. Sampangi</t>
  </si>
  <si>
    <t>081-17-000028</t>
  </si>
  <si>
    <t>Construction of RCC drain and Providing covering slabs at Talakavery Layout in Ward No 81 Vignananagara</t>
  </si>
  <si>
    <t>D P NAGARAJU</t>
  </si>
  <si>
    <t>081-17-000029</t>
  </si>
  <si>
    <t>Construction of RCC drain and Providing covering slabs at MEG Layout Akash Nagar in Ward No 81 Vignananagara</t>
  </si>
  <si>
    <t>081-17-000026</t>
  </si>
  <si>
    <t>Construction of RCC drain and Providing covering slabs at LBS Nagara main roads in Ward No 81 Vignananagara</t>
  </si>
  <si>
    <t>October</t>
  </si>
  <si>
    <t>081-17-000062</t>
  </si>
  <si>
    <t>Improvements and Asphalting to roads at Shivananda Nagara, Jagadish Nagara and Jyothi Nagara other areas in ward no 81 of HAL Airport sub division</t>
  </si>
  <si>
    <t>Sri. S Hari Prasad (MAA India Projects)</t>
  </si>
  <si>
    <t>081-14-000006</t>
  </si>
  <si>
    <t xml:space="preserve">Construction of drains and Providing footpath covering slabs in ward No 81 Vignana Nagara </t>
  </si>
  <si>
    <t>M Venkatachalapathi</t>
  </si>
  <si>
    <t>December</t>
  </si>
  <si>
    <t>081-15-000046</t>
  </si>
  <si>
    <t xml:space="preserve">Construction of waste Water Drain along Right Bank Side of Vibhuthipura Tank From Syed Block to Tala Cauvery Layout In Ward No 81 </t>
  </si>
  <si>
    <t>January</t>
  </si>
  <si>
    <t>081-18-000040</t>
  </si>
  <si>
    <t xml:space="preserve">Providing lighting arrangements to Indira Canteen at Vijanapura- in Ward no.81 </t>
  </si>
  <si>
    <t>Indira Canteen</t>
  </si>
  <si>
    <t>M/S.KRIDL</t>
  </si>
  <si>
    <t>081-18-000041</t>
  </si>
  <si>
    <t>Construction of compound and other allied works for Indira Canteen at Vignananagara in ward no.81</t>
  </si>
  <si>
    <t>Karnataka Rural Infrastructure Development Limited,</t>
  </si>
  <si>
    <t>February</t>
  </si>
  <si>
    <t>081-18-000039</t>
  </si>
  <si>
    <t xml:space="preserve">Providing UPS Batteries and Electrical works for Indira Canteen in Mahadevapura Zone Ward No 81 Vijananagara </t>
  </si>
  <si>
    <t>081-17-000032</t>
  </si>
  <si>
    <t>Construction of RCC drain and Providing covering slabs at Jyothi Nagar in Ward No 81 Vignananagara</t>
  </si>
  <si>
    <t>081-17-000025</t>
  </si>
  <si>
    <t>Construction of RCC drain and Providing covering slabs at Syed Block in Ward No 81 Vignananagara</t>
  </si>
  <si>
    <t>D.P. Nagaraju</t>
  </si>
  <si>
    <t>081-17-000031</t>
  </si>
  <si>
    <t>Construction of RCC drain and Providing covering slabs at Kushal Nagappareddy Layout in Ward No 81 Vignananagara</t>
  </si>
  <si>
    <t>081-17-000024</t>
  </si>
  <si>
    <t>Construction of RCC drain and Providing covering slabs at LBS nagar Cross roads in Ward No 81 Vignananagara</t>
  </si>
  <si>
    <t>081-15-000050</t>
  </si>
  <si>
    <t xml:space="preserve">Improvements and Asphalting to Balanace Roads of Saraswathi Nagara And Shivaganga Layout Near Mahadevapura in Ward No-81 </t>
  </si>
  <si>
    <t>081-17-000022</t>
  </si>
  <si>
    <t>Providing Tractor and Gangman in Ward No 81 Vignananagara</t>
  </si>
  <si>
    <t>Sri GOPALA GOWDA. V</t>
  </si>
  <si>
    <t>March</t>
  </si>
  <si>
    <t>081-16-000040</t>
  </si>
  <si>
    <t>Improvements and asphalting to cross roads 7th and 8th in ward 81 Vignanagar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</si>
</sst>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workbookViewId="0">
      <pane ySplit="1" topLeftCell="A2" activePane="bottomLeft" state="frozen"/>
      <selection activeCell="H1" sqref="H1"/>
      <selection pane="bottomLeft" activeCell="A2" sqref="A2:XFD5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76</v>
      </c>
      <c r="B2" s="9" t="s">
        <v>33</v>
      </c>
      <c r="C2" s="10">
        <v>43194</v>
      </c>
      <c r="D2" s="11">
        <v>81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"0048"</f>
        <v>0048</v>
      </c>
      <c r="M2" s="10">
        <v>5</v>
      </c>
      <c r="N2" s="11" t="str">
        <f>"0055"</f>
        <v>0055</v>
      </c>
      <c r="O2" s="10">
        <v>5</v>
      </c>
      <c r="P2" s="11" t="str">
        <f>"000240"</f>
        <v>000240</v>
      </c>
      <c r="Q2" s="10">
        <v>42767</v>
      </c>
      <c r="R2" s="11">
        <v>16</v>
      </c>
      <c r="S2" s="11" t="str">
        <f>"000128"</f>
        <v>000128</v>
      </c>
      <c r="T2" s="10">
        <v>42831</v>
      </c>
      <c r="U2" s="14">
        <v>0.11070000000000001</v>
      </c>
      <c r="V2" s="14">
        <v>1.107E-2</v>
      </c>
      <c r="W2" s="14">
        <v>9.9629999999999996E-2</v>
      </c>
      <c r="X2" s="11">
        <v>1</v>
      </c>
      <c r="Y2" s="10">
        <v>43194</v>
      </c>
      <c r="Z2" s="11">
        <v>9844004676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1.1070000000000001E-3</v>
      </c>
      <c r="AG2" s="11" t="s">
        <v>46</v>
      </c>
    </row>
    <row r="3" spans="1:33" x14ac:dyDescent="0.2">
      <c r="A3" s="8">
        <v>77</v>
      </c>
      <c r="B3" s="9" t="s">
        <v>33</v>
      </c>
      <c r="C3" s="10">
        <v>43194</v>
      </c>
      <c r="D3" s="11">
        <v>81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"048"</f>
        <v>048</v>
      </c>
      <c r="M3" s="10">
        <v>10</v>
      </c>
      <c r="N3" s="11" t="str">
        <f>"000042"</f>
        <v>000042</v>
      </c>
      <c r="O3" s="10">
        <v>42916</v>
      </c>
      <c r="P3" s="11" t="str">
        <f>"000184"</f>
        <v>000184</v>
      </c>
      <c r="Q3" s="10">
        <v>42916</v>
      </c>
      <c r="R3" s="11">
        <v>16</v>
      </c>
      <c r="S3" s="11" t="str">
        <f>"008096"</f>
        <v>008096</v>
      </c>
      <c r="T3" s="10">
        <v>43061</v>
      </c>
      <c r="U3" s="14">
        <v>0.33428000000000002</v>
      </c>
      <c r="V3" s="14">
        <v>3.3430000000000001E-2</v>
      </c>
      <c r="W3" s="14">
        <v>0.30085000000000001</v>
      </c>
      <c r="X3" s="11">
        <v>1</v>
      </c>
      <c r="Y3" s="10">
        <v>43194</v>
      </c>
      <c r="Z3" s="11">
        <v>9844004676</v>
      </c>
      <c r="AA3" s="12" t="s">
        <v>50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3.3428000000000004E-3</v>
      </c>
      <c r="AG3" s="11" t="s">
        <v>46</v>
      </c>
    </row>
    <row r="4" spans="1:33" x14ac:dyDescent="0.2">
      <c r="A4" s="8">
        <v>253</v>
      </c>
      <c r="B4" s="9" t="s">
        <v>33</v>
      </c>
      <c r="C4" s="10">
        <v>43196</v>
      </c>
      <c r="D4" s="11">
        <v>81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53</v>
      </c>
      <c r="L4" s="11" t="str">
        <f>"0005"</f>
        <v>0005</v>
      </c>
      <c r="M4" s="10">
        <v>9</v>
      </c>
      <c r="N4" s="11" t="str">
        <f>"000068"</f>
        <v>000068</v>
      </c>
      <c r="O4" s="10">
        <v>43180</v>
      </c>
      <c r="P4" s="11" t="str">
        <f>"000254"</f>
        <v>000254</v>
      </c>
      <c r="Q4" s="10">
        <v>43180</v>
      </c>
      <c r="R4" s="11">
        <v>17</v>
      </c>
      <c r="S4" s="11" t="str">
        <f>"000333"</f>
        <v>000333</v>
      </c>
      <c r="T4" s="10">
        <v>43196</v>
      </c>
      <c r="U4" s="14">
        <v>15.095499999999999</v>
      </c>
      <c r="V4" s="14">
        <v>0.48957000000000001</v>
      </c>
      <c r="W4" s="14">
        <v>14.605930000000001</v>
      </c>
      <c r="X4" s="11">
        <v>7</v>
      </c>
      <c r="Y4" s="10">
        <v>43196</v>
      </c>
      <c r="Z4" s="11">
        <v>8904346138</v>
      </c>
      <c r="AA4" s="12" t="s">
        <v>54</v>
      </c>
      <c r="AB4" s="11" t="s">
        <v>55</v>
      </c>
      <c r="AC4" s="12" t="s">
        <v>56</v>
      </c>
      <c r="AD4" s="11" t="s">
        <v>44</v>
      </c>
      <c r="AE4" s="12" t="s">
        <v>45</v>
      </c>
      <c r="AF4" s="14">
        <v>0.15095500000000001</v>
      </c>
      <c r="AG4" s="11" t="s">
        <v>46</v>
      </c>
    </row>
    <row r="5" spans="1:33" x14ac:dyDescent="0.2">
      <c r="A5" s="8">
        <v>254</v>
      </c>
      <c r="B5" s="9" t="s">
        <v>33</v>
      </c>
      <c r="C5" s="10">
        <v>43196</v>
      </c>
      <c r="D5" s="11">
        <v>81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59</v>
      </c>
      <c r="L5" s="11" t="str">
        <f>"0005"</f>
        <v>0005</v>
      </c>
      <c r="M5" s="10">
        <v>8</v>
      </c>
      <c r="N5" s="11" t="str">
        <f>"000069"</f>
        <v>000069</v>
      </c>
      <c r="O5" s="10">
        <v>43180</v>
      </c>
      <c r="P5" s="11" t="str">
        <f>"000255"</f>
        <v>000255</v>
      </c>
      <c r="Q5" s="10">
        <v>43180</v>
      </c>
      <c r="R5" s="11">
        <v>17</v>
      </c>
      <c r="S5" s="11" t="str">
        <f>"000334"</f>
        <v>000334</v>
      </c>
      <c r="T5" s="10">
        <v>43196</v>
      </c>
      <c r="U5" s="14">
        <v>15.095499999999999</v>
      </c>
      <c r="V5" s="14">
        <v>0.48957000000000001</v>
      </c>
      <c r="W5" s="14">
        <v>14.605930000000001</v>
      </c>
      <c r="X5" s="11">
        <v>7</v>
      </c>
      <c r="Y5" s="10">
        <v>43196</v>
      </c>
      <c r="Z5" s="11">
        <v>8904346138</v>
      </c>
      <c r="AA5" s="12" t="s">
        <v>60</v>
      </c>
      <c r="AB5" s="11" t="s">
        <v>55</v>
      </c>
      <c r="AC5" s="12" t="s">
        <v>56</v>
      </c>
      <c r="AD5" s="11" t="s">
        <v>44</v>
      </c>
      <c r="AE5" s="12" t="s">
        <v>45</v>
      </c>
      <c r="AF5" s="14">
        <v>0.15095500000000001</v>
      </c>
      <c r="AG5" s="11" t="s">
        <v>46</v>
      </c>
    </row>
    <row r="6" spans="1:33" x14ac:dyDescent="0.2">
      <c r="A6" s="8">
        <v>524</v>
      </c>
      <c r="B6" s="9" t="s">
        <v>33</v>
      </c>
      <c r="C6" s="10">
        <v>43203</v>
      </c>
      <c r="D6" s="11">
        <v>81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49</v>
      </c>
      <c r="L6" s="11" t="str">
        <f>"000206"</f>
        <v>000206</v>
      </c>
      <c r="M6" s="10">
        <v>43179</v>
      </c>
      <c r="N6" s="11" t="str">
        <f>"000026"</f>
        <v>000026</v>
      </c>
      <c r="O6" s="10">
        <v>43263</v>
      </c>
      <c r="P6" s="11" t="str">
        <f>"000096"</f>
        <v>000096</v>
      </c>
      <c r="Q6" s="10">
        <v>43263</v>
      </c>
      <c r="R6" s="11">
        <v>17</v>
      </c>
      <c r="S6" s="11" t="str">
        <f>""</f>
        <v/>
      </c>
      <c r="T6" s="10"/>
      <c r="U6" s="14">
        <v>27.96698</v>
      </c>
      <c r="V6" s="14">
        <v>1.21265</v>
      </c>
      <c r="W6" s="14">
        <v>26.75433</v>
      </c>
      <c r="X6" s="11">
        <v>18</v>
      </c>
      <c r="Y6" s="10">
        <v>43203</v>
      </c>
      <c r="Z6" s="11">
        <v>0</v>
      </c>
      <c r="AA6" s="12" t="s">
        <v>63</v>
      </c>
      <c r="AB6" s="11" t="s">
        <v>55</v>
      </c>
      <c r="AC6" s="12" t="s">
        <v>56</v>
      </c>
      <c r="AD6" s="11" t="s">
        <v>44</v>
      </c>
      <c r="AE6" s="12" t="s">
        <v>45</v>
      </c>
      <c r="AF6" s="14">
        <v>0.27966979999999997</v>
      </c>
      <c r="AG6" s="11" t="s">
        <v>64</v>
      </c>
    </row>
    <row r="7" spans="1:33" x14ac:dyDescent="0.2">
      <c r="A7" s="8">
        <v>525</v>
      </c>
      <c r="B7" s="9" t="s">
        <v>33</v>
      </c>
      <c r="C7" s="10">
        <v>43203</v>
      </c>
      <c r="D7" s="11">
        <v>81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65</v>
      </c>
      <c r="J7" s="12" t="s">
        <v>66</v>
      </c>
      <c r="K7" s="13" t="s">
        <v>49</v>
      </c>
      <c r="L7" s="11" t="str">
        <f>"000196"</f>
        <v>000196</v>
      </c>
      <c r="M7" s="10">
        <v>43179</v>
      </c>
      <c r="N7" s="11" t="str">
        <f>"000027"</f>
        <v>000027</v>
      </c>
      <c r="O7" s="10">
        <v>43264</v>
      </c>
      <c r="P7" s="11" t="str">
        <f>"000098"</f>
        <v>000098</v>
      </c>
      <c r="Q7" s="10">
        <v>43264</v>
      </c>
      <c r="R7" s="11">
        <v>17</v>
      </c>
      <c r="S7" s="11" t="str">
        <f>""</f>
        <v/>
      </c>
      <c r="T7" s="10"/>
      <c r="U7" s="14">
        <v>78.821640000000002</v>
      </c>
      <c r="V7" s="14">
        <v>3.4594299999999998</v>
      </c>
      <c r="W7" s="14">
        <v>75.362210000000005</v>
      </c>
      <c r="X7" s="11">
        <v>18</v>
      </c>
      <c r="Y7" s="10">
        <v>43203</v>
      </c>
      <c r="Z7" s="11">
        <v>0</v>
      </c>
      <c r="AA7" s="12" t="s">
        <v>63</v>
      </c>
      <c r="AB7" s="11" t="s">
        <v>55</v>
      </c>
      <c r="AC7" s="12" t="s">
        <v>56</v>
      </c>
      <c r="AD7" s="11" t="s">
        <v>44</v>
      </c>
      <c r="AE7" s="12" t="s">
        <v>45</v>
      </c>
      <c r="AF7" s="14">
        <v>0.78821640000000004</v>
      </c>
      <c r="AG7" s="11" t="s">
        <v>64</v>
      </c>
    </row>
    <row r="8" spans="1:33" x14ac:dyDescent="0.2">
      <c r="A8" s="8">
        <v>526</v>
      </c>
      <c r="B8" s="9" t="s">
        <v>33</v>
      </c>
      <c r="C8" s="10">
        <v>43203</v>
      </c>
      <c r="D8" s="11">
        <v>81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49</v>
      </c>
      <c r="L8" s="11" t="str">
        <f>"000207"</f>
        <v>000207</v>
      </c>
      <c r="M8" s="10">
        <v>43179</v>
      </c>
      <c r="N8" s="11" t="str">
        <f>"000025"</f>
        <v>000025</v>
      </c>
      <c r="O8" s="10">
        <v>43263</v>
      </c>
      <c r="P8" s="11" t="str">
        <f>"000095"</f>
        <v>000095</v>
      </c>
      <c r="Q8" s="10">
        <v>43263</v>
      </c>
      <c r="R8" s="11">
        <v>17</v>
      </c>
      <c r="S8" s="11" t="str">
        <f>""</f>
        <v/>
      </c>
      <c r="T8" s="10"/>
      <c r="U8" s="14">
        <v>78.877120000000005</v>
      </c>
      <c r="V8" s="14">
        <v>3.4390100000000001</v>
      </c>
      <c r="W8" s="14">
        <v>75.438109999999995</v>
      </c>
      <c r="X8" s="11">
        <v>18</v>
      </c>
      <c r="Y8" s="10">
        <v>43203</v>
      </c>
      <c r="Z8" s="11">
        <v>0</v>
      </c>
      <c r="AA8" s="12" t="s">
        <v>63</v>
      </c>
      <c r="AB8" s="11" t="s">
        <v>55</v>
      </c>
      <c r="AC8" s="12" t="s">
        <v>56</v>
      </c>
      <c r="AD8" s="11" t="s">
        <v>44</v>
      </c>
      <c r="AE8" s="12" t="s">
        <v>45</v>
      </c>
      <c r="AF8" s="14">
        <v>0.78877120000000001</v>
      </c>
      <c r="AG8" s="11" t="s">
        <v>64</v>
      </c>
    </row>
    <row r="9" spans="1:33" x14ac:dyDescent="0.2">
      <c r="A9" s="8">
        <v>527</v>
      </c>
      <c r="B9" s="9" t="s">
        <v>33</v>
      </c>
      <c r="C9" s="10">
        <v>43203</v>
      </c>
      <c r="D9" s="11">
        <v>81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69</v>
      </c>
      <c r="J9" s="12" t="s">
        <v>70</v>
      </c>
      <c r="K9" s="13" t="s">
        <v>49</v>
      </c>
      <c r="L9" s="11" t="str">
        <f>"000197"</f>
        <v>000197</v>
      </c>
      <c r="M9" s="10">
        <v>43179</v>
      </c>
      <c r="N9" s="11" t="str">
        <f>"000064"</f>
        <v>000064</v>
      </c>
      <c r="O9" s="10">
        <v>43179</v>
      </c>
      <c r="P9" s="11" t="str">
        <f>"000237"</f>
        <v>000237</v>
      </c>
      <c r="Q9" s="10">
        <v>43179</v>
      </c>
      <c r="R9" s="11">
        <v>17</v>
      </c>
      <c r="S9" s="11" t="str">
        <f>"000511"</f>
        <v>000511</v>
      </c>
      <c r="T9" s="10">
        <v>43202</v>
      </c>
      <c r="U9" s="14">
        <v>56.339709999999997</v>
      </c>
      <c r="V9" s="14">
        <v>2.4397700000000002</v>
      </c>
      <c r="W9" s="14">
        <v>53.899940000000001</v>
      </c>
      <c r="X9" s="11">
        <v>18</v>
      </c>
      <c r="Y9" s="10">
        <v>43203</v>
      </c>
      <c r="Z9" s="11">
        <v>0</v>
      </c>
      <c r="AA9" s="12" t="s">
        <v>63</v>
      </c>
      <c r="AB9" s="11" t="s">
        <v>55</v>
      </c>
      <c r="AC9" s="12" t="s">
        <v>56</v>
      </c>
      <c r="AD9" s="11" t="s">
        <v>44</v>
      </c>
      <c r="AE9" s="12" t="s">
        <v>45</v>
      </c>
      <c r="AF9" s="14">
        <v>0.56339709999999998</v>
      </c>
      <c r="AG9" s="11" t="s">
        <v>46</v>
      </c>
    </row>
    <row r="10" spans="1:33" x14ac:dyDescent="0.2">
      <c r="A10" s="8">
        <v>617</v>
      </c>
      <c r="B10" s="9" t="s">
        <v>33</v>
      </c>
      <c r="C10" s="10">
        <v>43214</v>
      </c>
      <c r="D10" s="11">
        <v>81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71</v>
      </c>
      <c r="J10" s="12" t="s">
        <v>72</v>
      </c>
      <c r="K10" s="13" t="s">
        <v>49</v>
      </c>
      <c r="L10" s="11" t="str">
        <f>"O00099"</f>
        <v>O00099</v>
      </c>
      <c r="M10" s="10">
        <v>42027</v>
      </c>
      <c r="N10" s="11" t="str">
        <f>"000020"</f>
        <v>000020</v>
      </c>
      <c r="O10" s="10">
        <v>42551</v>
      </c>
      <c r="P10" s="11" t="str">
        <f>"000056"</f>
        <v>000056</v>
      </c>
      <c r="Q10" s="10">
        <v>42581</v>
      </c>
      <c r="R10" s="11">
        <v>15</v>
      </c>
      <c r="S10" s="11" t="str">
        <f>"000530"</f>
        <v>000530</v>
      </c>
      <c r="T10" s="10">
        <v>43203</v>
      </c>
      <c r="U10" s="14">
        <v>8.3575999999999997</v>
      </c>
      <c r="V10" s="14">
        <v>1.2695799999999999</v>
      </c>
      <c r="W10" s="14">
        <v>7.0880200000000002</v>
      </c>
      <c r="X10" s="11">
        <v>23</v>
      </c>
      <c r="Y10" s="10">
        <v>43214</v>
      </c>
      <c r="Z10" s="11">
        <v>9448906339</v>
      </c>
      <c r="AA10" s="12" t="s">
        <v>73</v>
      </c>
      <c r="AB10" s="11" t="s">
        <v>74</v>
      </c>
      <c r="AC10" s="12" t="s">
        <v>75</v>
      </c>
      <c r="AD10" s="11" t="s">
        <v>44</v>
      </c>
      <c r="AE10" s="12" t="s">
        <v>45</v>
      </c>
      <c r="AF10" s="14">
        <v>8.3575999999999998E-2</v>
      </c>
      <c r="AG10" s="11" t="s">
        <v>46</v>
      </c>
    </row>
    <row r="11" spans="1:33" x14ac:dyDescent="0.2">
      <c r="A11" s="8">
        <v>618</v>
      </c>
      <c r="B11" s="9" t="s">
        <v>33</v>
      </c>
      <c r="C11" s="10">
        <v>43214</v>
      </c>
      <c r="D11" s="11">
        <v>81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76</v>
      </c>
      <c r="J11" s="12" t="s">
        <v>77</v>
      </c>
      <c r="K11" s="13" t="s">
        <v>49</v>
      </c>
      <c r="L11" s="11" t="str">
        <f>"000047"</f>
        <v>000047</v>
      </c>
      <c r="M11" s="10">
        <v>42430</v>
      </c>
      <c r="N11" s="11" t="str">
        <f>"000002"</f>
        <v>000002</v>
      </c>
      <c r="O11" s="10">
        <v>42460</v>
      </c>
      <c r="P11" s="11" t="str">
        <f>"208"</f>
        <v>208</v>
      </c>
      <c r="Q11" s="10">
        <v>42713</v>
      </c>
      <c r="R11" s="11">
        <v>15</v>
      </c>
      <c r="S11" s="11" t="str">
        <f>""</f>
        <v/>
      </c>
      <c r="T11" s="10"/>
      <c r="U11" s="14">
        <v>11.792680000000001</v>
      </c>
      <c r="V11" s="14">
        <v>1.69611</v>
      </c>
      <c r="W11" s="14">
        <v>10.09657</v>
      </c>
      <c r="X11" s="11">
        <v>23</v>
      </c>
      <c r="Y11" s="10">
        <v>43214</v>
      </c>
      <c r="Z11" s="11">
        <v>9945525730</v>
      </c>
      <c r="AA11" s="12" t="s">
        <v>78</v>
      </c>
      <c r="AB11" s="11" t="s">
        <v>79</v>
      </c>
      <c r="AC11" s="12" t="s">
        <v>80</v>
      </c>
      <c r="AD11" s="11" t="s">
        <v>44</v>
      </c>
      <c r="AE11" s="12" t="s">
        <v>45</v>
      </c>
      <c r="AF11" s="14">
        <v>0.11792680000000001</v>
      </c>
      <c r="AG11" s="11" t="s">
        <v>46</v>
      </c>
    </row>
    <row r="12" spans="1:33" x14ac:dyDescent="0.2">
      <c r="A12" s="8">
        <v>1317</v>
      </c>
      <c r="B12" s="9" t="s">
        <v>81</v>
      </c>
      <c r="C12" s="10">
        <v>43241</v>
      </c>
      <c r="D12" s="11">
        <v>81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49</v>
      </c>
      <c r="L12" s="11" t="str">
        <f>"000239"</f>
        <v>000239</v>
      </c>
      <c r="M12" s="10">
        <v>43206</v>
      </c>
      <c r="N12" s="11" t="str">
        <f>"000007"</f>
        <v>000007</v>
      </c>
      <c r="O12" s="10">
        <v>43206</v>
      </c>
      <c r="P12" s="11" t="str">
        <f>"000036"</f>
        <v>000036</v>
      </c>
      <c r="Q12" s="10">
        <v>43206</v>
      </c>
      <c r="R12" s="11">
        <v>17</v>
      </c>
      <c r="S12" s="11" t="str">
        <f>"001656"</f>
        <v>001656</v>
      </c>
      <c r="T12" s="10">
        <v>43239</v>
      </c>
      <c r="U12" s="14">
        <v>80.172539999999998</v>
      </c>
      <c r="V12" s="14">
        <v>3.5000800000000001</v>
      </c>
      <c r="W12" s="14">
        <v>76.672460000000001</v>
      </c>
      <c r="X12" s="11">
        <v>55</v>
      </c>
      <c r="Y12" s="10">
        <v>43241</v>
      </c>
      <c r="Z12" s="11">
        <v>9986666666</v>
      </c>
      <c r="AA12" s="12" t="s">
        <v>84</v>
      </c>
      <c r="AB12" s="11" t="s">
        <v>55</v>
      </c>
      <c r="AC12" s="12" t="s">
        <v>56</v>
      </c>
      <c r="AD12" s="11" t="s">
        <v>44</v>
      </c>
      <c r="AE12" s="12" t="s">
        <v>45</v>
      </c>
      <c r="AF12" s="14">
        <v>0.80172540000000003</v>
      </c>
      <c r="AG12" s="11" t="s">
        <v>85</v>
      </c>
    </row>
    <row r="13" spans="1:33" x14ac:dyDescent="0.2">
      <c r="A13" s="8">
        <v>2028</v>
      </c>
      <c r="B13" s="9" t="s">
        <v>86</v>
      </c>
      <c r="C13" s="10">
        <v>43262</v>
      </c>
      <c r="D13" s="11">
        <v>81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49</v>
      </c>
      <c r="L13" s="11" t="str">
        <f>"O00137"</f>
        <v>O00137</v>
      </c>
      <c r="M13" s="10">
        <v>41673</v>
      </c>
      <c r="N13" s="11" t="str">
        <f>"000026"</f>
        <v>000026</v>
      </c>
      <c r="O13" s="10">
        <v>42581</v>
      </c>
      <c r="P13" s="11" t="str">
        <f>"000060"</f>
        <v>000060</v>
      </c>
      <c r="Q13" s="10">
        <v>42581</v>
      </c>
      <c r="R13" s="11">
        <v>14</v>
      </c>
      <c r="S13" s="11" t="str">
        <f>"002316"</f>
        <v>002316</v>
      </c>
      <c r="T13" s="10">
        <v>43258</v>
      </c>
      <c r="U13" s="14">
        <v>11.78368</v>
      </c>
      <c r="V13" s="14">
        <v>1.63605</v>
      </c>
      <c r="W13" s="14">
        <v>10.147629999999999</v>
      </c>
      <c r="X13" s="11">
        <v>80</v>
      </c>
      <c r="Y13" s="10">
        <v>43262</v>
      </c>
      <c r="Z13" s="11">
        <v>9480828234</v>
      </c>
      <c r="AA13" s="12" t="s">
        <v>89</v>
      </c>
      <c r="AB13" s="11" t="s">
        <v>90</v>
      </c>
      <c r="AC13" s="12" t="s">
        <v>91</v>
      </c>
      <c r="AD13" s="11" t="s">
        <v>44</v>
      </c>
      <c r="AE13" s="12" t="s">
        <v>45</v>
      </c>
      <c r="AF13" s="14">
        <v>0.11783680000000001</v>
      </c>
      <c r="AG13" s="11" t="s">
        <v>46</v>
      </c>
    </row>
    <row r="14" spans="1:33" x14ac:dyDescent="0.2">
      <c r="A14" s="8">
        <v>2548</v>
      </c>
      <c r="B14" s="9" t="s">
        <v>86</v>
      </c>
      <c r="C14" s="10">
        <v>43274</v>
      </c>
      <c r="D14" s="11">
        <v>81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92</v>
      </c>
      <c r="J14" s="12" t="s">
        <v>93</v>
      </c>
      <c r="K14" s="13" t="s">
        <v>49</v>
      </c>
      <c r="L14" s="11" t="str">
        <f>"000045"</f>
        <v>000045</v>
      </c>
      <c r="M14" s="10">
        <v>42100</v>
      </c>
      <c r="N14" s="11" t="str">
        <f>"000038"</f>
        <v>000038</v>
      </c>
      <c r="O14" s="10">
        <v>42661</v>
      </c>
      <c r="P14" s="11" t="str">
        <f>"000176"</f>
        <v>000176</v>
      </c>
      <c r="Q14" s="10">
        <v>42661</v>
      </c>
      <c r="R14" s="11">
        <v>15</v>
      </c>
      <c r="S14" s="11" t="str">
        <f>"002748"</f>
        <v>002748</v>
      </c>
      <c r="T14" s="10">
        <v>43271</v>
      </c>
      <c r="U14" s="14">
        <v>10.75597</v>
      </c>
      <c r="V14" s="14">
        <v>1.63151</v>
      </c>
      <c r="W14" s="14">
        <v>9.1244599999999991</v>
      </c>
      <c r="X14" s="11">
        <v>99</v>
      </c>
      <c r="Y14" s="10">
        <v>43274</v>
      </c>
      <c r="Z14" s="11">
        <v>9480828234</v>
      </c>
      <c r="AA14" s="12" t="s">
        <v>89</v>
      </c>
      <c r="AB14" s="11" t="s">
        <v>79</v>
      </c>
      <c r="AC14" s="12" t="s">
        <v>80</v>
      </c>
      <c r="AD14" s="11" t="s">
        <v>44</v>
      </c>
      <c r="AE14" s="12" t="s">
        <v>45</v>
      </c>
      <c r="AF14" s="14">
        <v>0.10755969999999999</v>
      </c>
      <c r="AG14" s="11" t="s">
        <v>46</v>
      </c>
    </row>
    <row r="15" spans="1:33" x14ac:dyDescent="0.2">
      <c r="A15" s="8">
        <v>2858</v>
      </c>
      <c r="B15" s="9" t="s">
        <v>94</v>
      </c>
      <c r="C15" s="10">
        <v>43283</v>
      </c>
      <c r="D15" s="11">
        <v>81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95</v>
      </c>
      <c r="J15" s="12" t="s">
        <v>96</v>
      </c>
      <c r="K15" s="13" t="s">
        <v>40</v>
      </c>
      <c r="L15" s="11" t="str">
        <f>"000003"</f>
        <v>000003</v>
      </c>
      <c r="M15" s="10">
        <v>42475</v>
      </c>
      <c r="N15" s="11" t="str">
        <f>"00"</f>
        <v>00</v>
      </c>
      <c r="O15" s="10">
        <v>114</v>
      </c>
      <c r="P15" s="11" t="str">
        <f>"000119"</f>
        <v>000119</v>
      </c>
      <c r="Q15" s="10">
        <v>42848</v>
      </c>
      <c r="R15" s="11">
        <v>16</v>
      </c>
      <c r="S15" s="11" t="str">
        <f>"002895"</f>
        <v>002895</v>
      </c>
      <c r="T15" s="10">
        <v>43276</v>
      </c>
      <c r="U15" s="14">
        <v>19.943100000000001</v>
      </c>
      <c r="V15" s="14">
        <v>2.4377</v>
      </c>
      <c r="W15" s="14">
        <v>17.505400000000002</v>
      </c>
      <c r="X15" s="11">
        <v>108</v>
      </c>
      <c r="Y15" s="10">
        <v>43283</v>
      </c>
      <c r="Z15" s="11">
        <v>9980796171</v>
      </c>
      <c r="AA15" s="12" t="s">
        <v>97</v>
      </c>
      <c r="AB15" s="11" t="s">
        <v>98</v>
      </c>
      <c r="AC15" s="12" t="s">
        <v>99</v>
      </c>
      <c r="AD15" s="11" t="s">
        <v>100</v>
      </c>
      <c r="AE15" s="12" t="s">
        <v>101</v>
      </c>
      <c r="AF15" s="14">
        <v>0.19943100000000002</v>
      </c>
      <c r="AG15" s="11" t="s">
        <v>46</v>
      </c>
    </row>
    <row r="16" spans="1:33" x14ac:dyDescent="0.2">
      <c r="A16" s="8">
        <v>3167</v>
      </c>
      <c r="B16" s="9" t="s">
        <v>94</v>
      </c>
      <c r="C16" s="10">
        <v>43290</v>
      </c>
      <c r="D16" s="11">
        <v>81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102</v>
      </c>
      <c r="J16" s="12" t="s">
        <v>103</v>
      </c>
      <c r="K16" s="13" t="s">
        <v>104</v>
      </c>
      <c r="L16" s="11" t="str">
        <f>"010179"</f>
        <v>010179</v>
      </c>
      <c r="M16" s="10">
        <v>43191</v>
      </c>
      <c r="N16" s="11" t="str">
        <f>"000052"</f>
        <v>000052</v>
      </c>
      <c r="O16" s="10">
        <v>42710</v>
      </c>
      <c r="P16" s="11" t="str">
        <f>"000211"</f>
        <v>000211</v>
      </c>
      <c r="Q16" s="10">
        <v>42717</v>
      </c>
      <c r="R16" s="11">
        <v>15</v>
      </c>
      <c r="S16" s="11" t="str">
        <f>"003389"</f>
        <v>003389</v>
      </c>
      <c r="T16" s="10">
        <v>43288</v>
      </c>
      <c r="U16" s="14">
        <v>9.7831499999999991</v>
      </c>
      <c r="V16" s="14">
        <v>1.2886899999999999</v>
      </c>
      <c r="W16" s="14">
        <v>8.4944600000000001</v>
      </c>
      <c r="X16" s="11">
        <v>117</v>
      </c>
      <c r="Y16" s="10">
        <v>43290</v>
      </c>
      <c r="Z16" s="11">
        <v>9036096277</v>
      </c>
      <c r="AA16" s="12" t="s">
        <v>89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9.7831499999999988E-2</v>
      </c>
      <c r="AG16" s="11" t="s">
        <v>64</v>
      </c>
    </row>
    <row r="17" spans="1:33" x14ac:dyDescent="0.2">
      <c r="A17" s="8">
        <v>3168</v>
      </c>
      <c r="B17" s="9" t="s">
        <v>94</v>
      </c>
      <c r="C17" s="10">
        <v>43290</v>
      </c>
      <c r="D17" s="11">
        <v>81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105</v>
      </c>
      <c r="J17" s="12" t="s">
        <v>106</v>
      </c>
      <c r="K17" s="13" t="s">
        <v>49</v>
      </c>
      <c r="L17" s="11" t="str">
        <f>"000176"</f>
        <v>000176</v>
      </c>
      <c r="M17" s="10">
        <v>43191</v>
      </c>
      <c r="N17" s="11" t="str">
        <f>"000051"</f>
        <v>000051</v>
      </c>
      <c r="O17" s="10">
        <v>42710</v>
      </c>
      <c r="P17" s="11" t="str">
        <f>"000212"</f>
        <v>000212</v>
      </c>
      <c r="Q17" s="10">
        <v>42717</v>
      </c>
      <c r="R17" s="11">
        <v>15</v>
      </c>
      <c r="S17" s="11" t="str">
        <f>"003390"</f>
        <v>003390</v>
      </c>
      <c r="T17" s="10">
        <v>43288</v>
      </c>
      <c r="U17" s="14">
        <v>43.479759999999999</v>
      </c>
      <c r="V17" s="14">
        <v>6.9424000000000001</v>
      </c>
      <c r="W17" s="14">
        <v>36.53736</v>
      </c>
      <c r="X17" s="11">
        <v>117</v>
      </c>
      <c r="Y17" s="10">
        <v>43290</v>
      </c>
      <c r="Z17" s="11">
        <v>9036096277</v>
      </c>
      <c r="AA17" s="12" t="s">
        <v>89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0.43479760000000001</v>
      </c>
      <c r="AG17" s="11" t="s">
        <v>64</v>
      </c>
    </row>
    <row r="18" spans="1:33" x14ac:dyDescent="0.2">
      <c r="A18" s="8">
        <v>3169</v>
      </c>
      <c r="B18" s="9" t="s">
        <v>94</v>
      </c>
      <c r="C18" s="10">
        <v>43290</v>
      </c>
      <c r="D18" s="11">
        <v>81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76</v>
      </c>
      <c r="J18" s="12" t="s">
        <v>77</v>
      </c>
      <c r="K18" s="13" t="s">
        <v>49</v>
      </c>
      <c r="L18" s="11" t="str">
        <f>"000047"</f>
        <v>000047</v>
      </c>
      <c r="M18" s="10">
        <v>42430</v>
      </c>
      <c r="N18" s="11" t="str">
        <f>"000002"</f>
        <v>000002</v>
      </c>
      <c r="O18" s="10">
        <v>42460</v>
      </c>
      <c r="P18" s="11" t="str">
        <f>"208"</f>
        <v>208</v>
      </c>
      <c r="Q18" s="10">
        <v>42713</v>
      </c>
      <c r="R18" s="11">
        <v>15</v>
      </c>
      <c r="S18" s="11" t="str">
        <f>"003436"</f>
        <v>003436</v>
      </c>
      <c r="T18" s="10">
        <v>43288</v>
      </c>
      <c r="U18" s="14">
        <v>14.77084</v>
      </c>
      <c r="V18" s="14">
        <v>2.12148</v>
      </c>
      <c r="W18" s="14">
        <v>12.64936</v>
      </c>
      <c r="X18" s="11">
        <v>117</v>
      </c>
      <c r="Y18" s="10">
        <v>43290</v>
      </c>
      <c r="Z18" s="11">
        <v>9945525730</v>
      </c>
      <c r="AA18" s="12" t="s">
        <v>78</v>
      </c>
      <c r="AB18" s="11" t="s">
        <v>79</v>
      </c>
      <c r="AC18" s="12" t="s">
        <v>80</v>
      </c>
      <c r="AD18" s="11" t="s">
        <v>44</v>
      </c>
      <c r="AE18" s="12" t="s">
        <v>45</v>
      </c>
      <c r="AF18" s="14">
        <v>0.14770839999999999</v>
      </c>
      <c r="AG18" s="11" t="s">
        <v>46</v>
      </c>
    </row>
    <row r="19" spans="1:33" x14ac:dyDescent="0.2">
      <c r="A19" s="8">
        <v>3170</v>
      </c>
      <c r="B19" s="9" t="s">
        <v>94</v>
      </c>
      <c r="C19" s="10">
        <v>43290</v>
      </c>
      <c r="D19" s="11">
        <v>81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107</v>
      </c>
      <c r="J19" s="12" t="s">
        <v>108</v>
      </c>
      <c r="K19" s="13" t="s">
        <v>49</v>
      </c>
      <c r="L19" s="11" t="str">
        <f>"000035"</f>
        <v>000035</v>
      </c>
      <c r="M19" s="10">
        <v>41690</v>
      </c>
      <c r="N19" s="11" t="str">
        <f>"000001"</f>
        <v>000001</v>
      </c>
      <c r="O19" s="10">
        <v>42460</v>
      </c>
      <c r="P19" s="11" t="str">
        <f>"213"</f>
        <v>213</v>
      </c>
      <c r="Q19" s="10">
        <v>42717</v>
      </c>
      <c r="R19" s="11">
        <v>14</v>
      </c>
      <c r="S19" s="11" t="str">
        <f>"003437"</f>
        <v>003437</v>
      </c>
      <c r="T19" s="10">
        <v>43288</v>
      </c>
      <c r="U19" s="14">
        <v>27.19201</v>
      </c>
      <c r="V19" s="14">
        <v>4.2705599999999997</v>
      </c>
      <c r="W19" s="14">
        <v>22.92145</v>
      </c>
      <c r="X19" s="11">
        <v>117</v>
      </c>
      <c r="Y19" s="10">
        <v>43290</v>
      </c>
      <c r="Z19" s="11">
        <v>9480828234</v>
      </c>
      <c r="AA19" s="12" t="s">
        <v>89</v>
      </c>
      <c r="AB19" s="11" t="s">
        <v>90</v>
      </c>
      <c r="AC19" s="12" t="s">
        <v>91</v>
      </c>
      <c r="AD19" s="11" t="s">
        <v>44</v>
      </c>
      <c r="AE19" s="12" t="s">
        <v>45</v>
      </c>
      <c r="AF19" s="14">
        <v>0.2719201</v>
      </c>
      <c r="AG19" s="11" t="s">
        <v>46</v>
      </c>
    </row>
    <row r="20" spans="1:33" x14ac:dyDescent="0.2">
      <c r="A20" s="8">
        <v>3303</v>
      </c>
      <c r="B20" s="9" t="s">
        <v>94</v>
      </c>
      <c r="C20" s="10">
        <v>43297</v>
      </c>
      <c r="D20" s="11">
        <v>81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109</v>
      </c>
      <c r="J20" s="12" t="s">
        <v>110</v>
      </c>
      <c r="K20" s="13" t="s">
        <v>49</v>
      </c>
      <c r="L20" s="11" t="str">
        <f>"000172"</f>
        <v>000172</v>
      </c>
      <c r="M20" s="10">
        <v>43191</v>
      </c>
      <c r="N20" s="11" t="str">
        <f>"000039"</f>
        <v>000039</v>
      </c>
      <c r="O20" s="10">
        <v>42661</v>
      </c>
      <c r="P20" s="11" t="str">
        <f>"000174"</f>
        <v>000174</v>
      </c>
      <c r="Q20" s="10">
        <v>42661</v>
      </c>
      <c r="R20" s="11">
        <v>15</v>
      </c>
      <c r="S20" s="11" t="str">
        <f>"003459"</f>
        <v>003459</v>
      </c>
      <c r="T20" s="10">
        <v>43291</v>
      </c>
      <c r="U20" s="14">
        <v>10.48259</v>
      </c>
      <c r="V20" s="14">
        <v>1.66212</v>
      </c>
      <c r="W20" s="14">
        <v>8.8204700000000003</v>
      </c>
      <c r="X20" s="11">
        <v>125</v>
      </c>
      <c r="Y20" s="10">
        <v>43297</v>
      </c>
      <c r="Z20" s="11">
        <v>9480828234</v>
      </c>
      <c r="AA20" s="12" t="s">
        <v>89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0.1048259</v>
      </c>
      <c r="AG20" s="11" t="s">
        <v>64</v>
      </c>
    </row>
    <row r="21" spans="1:33" x14ac:dyDescent="0.2">
      <c r="A21" s="8">
        <v>3304</v>
      </c>
      <c r="B21" s="9" t="s">
        <v>94</v>
      </c>
      <c r="C21" s="10">
        <v>43297</v>
      </c>
      <c r="D21" s="11">
        <v>81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111</v>
      </c>
      <c r="J21" s="12" t="s">
        <v>112</v>
      </c>
      <c r="K21" s="13" t="s">
        <v>49</v>
      </c>
      <c r="L21" s="11" t="str">
        <f>"000177"</f>
        <v>000177</v>
      </c>
      <c r="M21" s="10">
        <v>42114</v>
      </c>
      <c r="N21" s="11" t="str">
        <f>"000040"</f>
        <v>000040</v>
      </c>
      <c r="O21" s="10">
        <v>42661</v>
      </c>
      <c r="P21" s="11" t="str">
        <f>"000175"</f>
        <v>000175</v>
      </c>
      <c r="Q21" s="10">
        <v>42661</v>
      </c>
      <c r="R21" s="11">
        <v>15</v>
      </c>
      <c r="S21" s="11" t="str">
        <f>"003460"</f>
        <v>003460</v>
      </c>
      <c r="T21" s="10">
        <v>43291</v>
      </c>
      <c r="U21" s="14">
        <v>11.27915</v>
      </c>
      <c r="V21" s="14">
        <v>1.7790900000000001</v>
      </c>
      <c r="W21" s="14">
        <v>9.5000599999999995</v>
      </c>
      <c r="X21" s="11">
        <v>125</v>
      </c>
      <c r="Y21" s="10">
        <v>43297</v>
      </c>
      <c r="Z21" s="11">
        <v>9480828234</v>
      </c>
      <c r="AA21" s="12" t="s">
        <v>89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0.11279149999999999</v>
      </c>
      <c r="AG21" s="11" t="s">
        <v>46</v>
      </c>
    </row>
    <row r="22" spans="1:33" x14ac:dyDescent="0.2">
      <c r="A22" s="8">
        <v>3849</v>
      </c>
      <c r="B22" s="9" t="s">
        <v>94</v>
      </c>
      <c r="C22" s="10">
        <v>43304</v>
      </c>
      <c r="D22" s="11">
        <v>81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65</v>
      </c>
      <c r="J22" s="12" t="s">
        <v>66</v>
      </c>
      <c r="K22" s="13" t="s">
        <v>49</v>
      </c>
      <c r="L22" s="11" t="str">
        <f>"000196"</f>
        <v>000196</v>
      </c>
      <c r="M22" s="10">
        <v>43179</v>
      </c>
      <c r="N22" s="11" t="str">
        <f>"000027"</f>
        <v>000027</v>
      </c>
      <c r="O22" s="10">
        <v>43264</v>
      </c>
      <c r="P22" s="11" t="str">
        <f>"000098"</f>
        <v>000098</v>
      </c>
      <c r="Q22" s="10">
        <v>43264</v>
      </c>
      <c r="R22" s="11">
        <v>17</v>
      </c>
      <c r="S22" s="11" t="str">
        <f>"004151"</f>
        <v>004151</v>
      </c>
      <c r="T22" s="10">
        <v>43302</v>
      </c>
      <c r="U22" s="14">
        <v>26.96781</v>
      </c>
      <c r="V22" s="14">
        <v>1.7647900000000001</v>
      </c>
      <c r="W22" s="14">
        <v>25.203019999999999</v>
      </c>
      <c r="X22" s="11">
        <v>136</v>
      </c>
      <c r="Y22" s="10">
        <v>43304</v>
      </c>
      <c r="Z22" s="11">
        <v>0</v>
      </c>
      <c r="AA22" s="12" t="s">
        <v>63</v>
      </c>
      <c r="AB22" s="11" t="s">
        <v>55</v>
      </c>
      <c r="AC22" s="12" t="s">
        <v>56</v>
      </c>
      <c r="AD22" s="11" t="s">
        <v>44</v>
      </c>
      <c r="AE22" s="12" t="s">
        <v>45</v>
      </c>
      <c r="AF22" s="14">
        <v>0.26967809999999998</v>
      </c>
      <c r="AG22" s="11" t="s">
        <v>64</v>
      </c>
    </row>
    <row r="23" spans="1:33" x14ac:dyDescent="0.2">
      <c r="A23" s="8">
        <v>3850</v>
      </c>
      <c r="B23" s="9" t="s">
        <v>94</v>
      </c>
      <c r="C23" s="10">
        <v>43304</v>
      </c>
      <c r="D23" s="11">
        <v>81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67</v>
      </c>
      <c r="J23" s="12" t="s">
        <v>68</v>
      </c>
      <c r="K23" s="13" t="s">
        <v>49</v>
      </c>
      <c r="L23" s="11" t="str">
        <f>"000207"</f>
        <v>000207</v>
      </c>
      <c r="M23" s="10">
        <v>43179</v>
      </c>
      <c r="N23" s="11" t="str">
        <f>"000025"</f>
        <v>000025</v>
      </c>
      <c r="O23" s="10">
        <v>43263</v>
      </c>
      <c r="P23" s="11" t="str">
        <f>"000095"</f>
        <v>000095</v>
      </c>
      <c r="Q23" s="10">
        <v>43263</v>
      </c>
      <c r="R23" s="11">
        <v>17</v>
      </c>
      <c r="S23" s="11" t="str">
        <f>"004152"</f>
        <v>004152</v>
      </c>
      <c r="T23" s="10">
        <v>43302</v>
      </c>
      <c r="U23" s="14">
        <v>82.361329999999995</v>
      </c>
      <c r="V23" s="14">
        <v>5.6551400000000003</v>
      </c>
      <c r="W23" s="14">
        <v>76.706190000000007</v>
      </c>
      <c r="X23" s="11">
        <v>136</v>
      </c>
      <c r="Y23" s="10">
        <v>43304</v>
      </c>
      <c r="Z23" s="11">
        <v>0</v>
      </c>
      <c r="AA23" s="12" t="s">
        <v>63</v>
      </c>
      <c r="AB23" s="11" t="s">
        <v>55</v>
      </c>
      <c r="AC23" s="12" t="s">
        <v>56</v>
      </c>
      <c r="AD23" s="11" t="s">
        <v>44</v>
      </c>
      <c r="AE23" s="12" t="s">
        <v>45</v>
      </c>
      <c r="AF23" s="14">
        <v>0.82361329999999999</v>
      </c>
      <c r="AG23" s="11" t="s">
        <v>64</v>
      </c>
    </row>
    <row r="24" spans="1:33" x14ac:dyDescent="0.2">
      <c r="A24" s="8">
        <v>3851</v>
      </c>
      <c r="B24" s="9" t="s">
        <v>94</v>
      </c>
      <c r="C24" s="10">
        <v>43304</v>
      </c>
      <c r="D24" s="11">
        <v>81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61</v>
      </c>
      <c r="J24" s="12" t="s">
        <v>62</v>
      </c>
      <c r="K24" s="13" t="s">
        <v>49</v>
      </c>
      <c r="L24" s="11" t="str">
        <f>"000206"</f>
        <v>000206</v>
      </c>
      <c r="M24" s="10">
        <v>43179</v>
      </c>
      <c r="N24" s="11" t="str">
        <f>"000026"</f>
        <v>000026</v>
      </c>
      <c r="O24" s="10">
        <v>43263</v>
      </c>
      <c r="P24" s="11" t="str">
        <f>"000096"</f>
        <v>000096</v>
      </c>
      <c r="Q24" s="10">
        <v>43263</v>
      </c>
      <c r="R24" s="11">
        <v>17</v>
      </c>
      <c r="S24" s="11" t="str">
        <f>"004153"</f>
        <v>004153</v>
      </c>
      <c r="T24" s="10">
        <v>43302</v>
      </c>
      <c r="U24" s="14">
        <v>52.133629999999997</v>
      </c>
      <c r="V24" s="14">
        <v>3.5344099999999998</v>
      </c>
      <c r="W24" s="14">
        <v>48.599220000000003</v>
      </c>
      <c r="X24" s="11">
        <v>136</v>
      </c>
      <c r="Y24" s="10">
        <v>43304</v>
      </c>
      <c r="Z24" s="11">
        <v>0</v>
      </c>
      <c r="AA24" s="12" t="s">
        <v>63</v>
      </c>
      <c r="AB24" s="11" t="s">
        <v>55</v>
      </c>
      <c r="AC24" s="12" t="s">
        <v>56</v>
      </c>
      <c r="AD24" s="11" t="s">
        <v>44</v>
      </c>
      <c r="AE24" s="12" t="s">
        <v>45</v>
      </c>
      <c r="AF24" s="14">
        <v>0.52133629999999997</v>
      </c>
      <c r="AG24" s="11" t="s">
        <v>64</v>
      </c>
    </row>
    <row r="25" spans="1:33" x14ac:dyDescent="0.2">
      <c r="A25" s="8">
        <v>4105</v>
      </c>
      <c r="B25" s="9" t="s">
        <v>94</v>
      </c>
      <c r="C25" s="10">
        <v>43308</v>
      </c>
      <c r="D25" s="11">
        <v>81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113</v>
      </c>
      <c r="J25" s="12" t="s">
        <v>114</v>
      </c>
      <c r="K25" s="13" t="s">
        <v>40</v>
      </c>
      <c r="L25" s="11" t="str">
        <f>"000003"</f>
        <v>000003</v>
      </c>
      <c r="M25" s="10">
        <v>42930</v>
      </c>
      <c r="N25" s="11" t="str">
        <f>"000069"</f>
        <v>000069</v>
      </c>
      <c r="O25" s="10">
        <v>43185</v>
      </c>
      <c r="P25" s="11" t="str">
        <f>"000071"</f>
        <v>000071</v>
      </c>
      <c r="Q25" s="10">
        <v>43185</v>
      </c>
      <c r="R25" s="11">
        <v>16</v>
      </c>
      <c r="S25" s="11" t="str">
        <f>"004879"</f>
        <v>004879</v>
      </c>
      <c r="T25" s="10">
        <v>43316</v>
      </c>
      <c r="U25" s="14">
        <v>13.90549</v>
      </c>
      <c r="V25" s="14">
        <v>1.7162500000000001</v>
      </c>
      <c r="W25" s="14">
        <v>12.18924</v>
      </c>
      <c r="X25" s="11">
        <v>146</v>
      </c>
      <c r="Y25" s="10">
        <v>43308</v>
      </c>
      <c r="Z25" s="11">
        <v>9980796171</v>
      </c>
      <c r="AA25" s="12" t="s">
        <v>115</v>
      </c>
      <c r="AB25" s="11" t="s">
        <v>116</v>
      </c>
      <c r="AC25" s="12" t="s">
        <v>117</v>
      </c>
      <c r="AD25" s="11" t="s">
        <v>100</v>
      </c>
      <c r="AE25" s="12" t="s">
        <v>101</v>
      </c>
      <c r="AF25" s="14">
        <v>0.13905490000000001</v>
      </c>
      <c r="AG25" s="11" t="s">
        <v>46</v>
      </c>
    </row>
    <row r="26" spans="1:33" x14ac:dyDescent="0.2">
      <c r="A26" s="8">
        <v>4283</v>
      </c>
      <c r="B26" s="9" t="s">
        <v>118</v>
      </c>
      <c r="C26" s="10">
        <v>43315</v>
      </c>
      <c r="D26" s="11">
        <v>81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119</v>
      </c>
      <c r="J26" s="12" t="s">
        <v>120</v>
      </c>
      <c r="K26" s="13" t="s">
        <v>49</v>
      </c>
      <c r="L26" s="11" t="str">
        <f>"000272"</f>
        <v>000272</v>
      </c>
      <c r="M26" s="10">
        <v>43191</v>
      </c>
      <c r="N26" s="11" t="str">
        <f>"000062"</f>
        <v>000062</v>
      </c>
      <c r="O26" s="10">
        <v>42765</v>
      </c>
      <c r="P26" s="11" t="str">
        <f>"000232"</f>
        <v>000232</v>
      </c>
      <c r="Q26" s="10">
        <v>42766</v>
      </c>
      <c r="R26" s="11">
        <v>14</v>
      </c>
      <c r="S26" s="11" t="str">
        <f>"004268"</f>
        <v>004268</v>
      </c>
      <c r="T26" s="10">
        <v>43306</v>
      </c>
      <c r="U26" s="14">
        <v>2.5957499999999998</v>
      </c>
      <c r="V26" s="14">
        <v>0.31411</v>
      </c>
      <c r="W26" s="14">
        <v>2.2816399999999999</v>
      </c>
      <c r="X26" s="11">
        <v>152</v>
      </c>
      <c r="Y26" s="10">
        <v>43315</v>
      </c>
      <c r="Z26" s="11">
        <v>9945520405</v>
      </c>
      <c r="AA26" s="12" t="s">
        <v>89</v>
      </c>
      <c r="AB26" s="11" t="s">
        <v>90</v>
      </c>
      <c r="AC26" s="12" t="s">
        <v>91</v>
      </c>
      <c r="AD26" s="11" t="s">
        <v>44</v>
      </c>
      <c r="AE26" s="12" t="s">
        <v>45</v>
      </c>
      <c r="AF26" s="14">
        <v>2.5957499999999998E-2</v>
      </c>
      <c r="AG26" s="11" t="s">
        <v>64</v>
      </c>
    </row>
    <row r="27" spans="1:33" x14ac:dyDescent="0.2">
      <c r="A27" s="8">
        <v>4284</v>
      </c>
      <c r="B27" s="9" t="s">
        <v>118</v>
      </c>
      <c r="C27" s="10">
        <v>43315</v>
      </c>
      <c r="D27" s="11">
        <v>81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121</v>
      </c>
      <c r="J27" s="12" t="s">
        <v>122</v>
      </c>
      <c r="K27" s="13" t="s">
        <v>49</v>
      </c>
      <c r="L27" s="11" t="str">
        <f>"000273"</f>
        <v>000273</v>
      </c>
      <c r="M27" s="10">
        <v>43191</v>
      </c>
      <c r="N27" s="11" t="str">
        <f>"000063"</f>
        <v>000063</v>
      </c>
      <c r="O27" s="10">
        <v>42765</v>
      </c>
      <c r="P27" s="11" t="str">
        <f>"000233"</f>
        <v>000233</v>
      </c>
      <c r="Q27" s="10">
        <v>42766</v>
      </c>
      <c r="R27" s="11">
        <v>14</v>
      </c>
      <c r="S27" s="11" t="str">
        <f>"004269"</f>
        <v>004269</v>
      </c>
      <c r="T27" s="10">
        <v>43306</v>
      </c>
      <c r="U27" s="14">
        <v>10.42455</v>
      </c>
      <c r="V27" s="14">
        <v>1.63609</v>
      </c>
      <c r="W27" s="14">
        <v>8.7884600000000006</v>
      </c>
      <c r="X27" s="11">
        <v>152</v>
      </c>
      <c r="Y27" s="10">
        <v>43315</v>
      </c>
      <c r="Z27" s="11">
        <v>9945520405</v>
      </c>
      <c r="AA27" s="12" t="s">
        <v>89</v>
      </c>
      <c r="AB27" s="11" t="s">
        <v>90</v>
      </c>
      <c r="AC27" s="12" t="s">
        <v>91</v>
      </c>
      <c r="AD27" s="11" t="s">
        <v>44</v>
      </c>
      <c r="AE27" s="12" t="s">
        <v>45</v>
      </c>
      <c r="AF27" s="14">
        <v>0.1042455</v>
      </c>
      <c r="AG27" s="11" t="s">
        <v>64</v>
      </c>
    </row>
    <row r="28" spans="1:33" x14ac:dyDescent="0.2">
      <c r="A28" s="8">
        <v>4344</v>
      </c>
      <c r="B28" s="9" t="s">
        <v>118</v>
      </c>
      <c r="C28" s="10">
        <v>43316</v>
      </c>
      <c r="D28" s="11">
        <v>81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123</v>
      </c>
      <c r="J28" s="12" t="s">
        <v>124</v>
      </c>
      <c r="K28" s="13" t="s">
        <v>125</v>
      </c>
      <c r="L28" s="11" t="str">
        <f>"000149"</f>
        <v>000149</v>
      </c>
      <c r="M28" s="10">
        <v>43086</v>
      </c>
      <c r="N28" s="11" t="str">
        <f>"000037"</f>
        <v>000037</v>
      </c>
      <c r="O28" s="10">
        <v>43306</v>
      </c>
      <c r="P28" s="11" t="str">
        <f>"000142"</f>
        <v>000142</v>
      </c>
      <c r="Q28" s="10">
        <v>43306</v>
      </c>
      <c r="R28" s="11">
        <v>17</v>
      </c>
      <c r="S28" s="11" t="str">
        <f>"004746"</f>
        <v>004746</v>
      </c>
      <c r="T28" s="10">
        <v>43314</v>
      </c>
      <c r="U28" s="14">
        <v>45.518729999999998</v>
      </c>
      <c r="V28" s="14">
        <v>2.3390200000000001</v>
      </c>
      <c r="W28" s="14">
        <v>43.17971</v>
      </c>
      <c r="X28" s="11">
        <v>155</v>
      </c>
      <c r="Y28" s="10">
        <v>43316</v>
      </c>
      <c r="Z28" s="11">
        <v>0</v>
      </c>
      <c r="AA28" s="12" t="s">
        <v>126</v>
      </c>
      <c r="AB28" s="11" t="s">
        <v>127</v>
      </c>
      <c r="AC28" s="12" t="s">
        <v>128</v>
      </c>
      <c r="AD28" s="11" t="s">
        <v>44</v>
      </c>
      <c r="AE28" s="12" t="s">
        <v>45</v>
      </c>
      <c r="AF28" s="14">
        <v>0.45518729999999996</v>
      </c>
      <c r="AG28" s="11" t="s">
        <v>64</v>
      </c>
    </row>
    <row r="29" spans="1:33" x14ac:dyDescent="0.2">
      <c r="A29" s="8">
        <v>4485</v>
      </c>
      <c r="B29" s="9" t="s">
        <v>118</v>
      </c>
      <c r="C29" s="10">
        <v>43318</v>
      </c>
      <c r="D29" s="11">
        <v>81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113</v>
      </c>
      <c r="J29" s="12" t="s">
        <v>114</v>
      </c>
      <c r="K29" s="13" t="s">
        <v>40</v>
      </c>
      <c r="L29" s="11" t="str">
        <f>"000003"</f>
        <v>000003</v>
      </c>
      <c r="M29" s="10">
        <v>42930</v>
      </c>
      <c r="N29" s="11" t="str">
        <f>"000069"</f>
        <v>000069</v>
      </c>
      <c r="O29" s="10">
        <v>43185</v>
      </c>
      <c r="P29" s="11" t="str">
        <f>"000071"</f>
        <v>000071</v>
      </c>
      <c r="Q29" s="10">
        <v>43185</v>
      </c>
      <c r="R29" s="11">
        <v>16</v>
      </c>
      <c r="S29" s="11" t="str">
        <f>"004879"</f>
        <v>004879</v>
      </c>
      <c r="T29" s="10">
        <v>43316</v>
      </c>
      <c r="U29" s="14">
        <v>9.0695499999999996</v>
      </c>
      <c r="V29" s="14">
        <v>1.11513</v>
      </c>
      <c r="W29" s="14">
        <v>7.9544199999999998</v>
      </c>
      <c r="X29" s="11">
        <v>157</v>
      </c>
      <c r="Y29" s="10">
        <v>43318</v>
      </c>
      <c r="Z29" s="11">
        <v>9980796171</v>
      </c>
      <c r="AA29" s="12" t="s">
        <v>115</v>
      </c>
      <c r="AB29" s="11" t="s">
        <v>116</v>
      </c>
      <c r="AC29" s="12" t="s">
        <v>117</v>
      </c>
      <c r="AD29" s="11" t="s">
        <v>100</v>
      </c>
      <c r="AE29" s="12" t="s">
        <v>101</v>
      </c>
      <c r="AF29" s="14">
        <v>9.0695499999999998E-2</v>
      </c>
      <c r="AG29" s="11" t="s">
        <v>46</v>
      </c>
    </row>
    <row r="30" spans="1:33" x14ac:dyDescent="0.2">
      <c r="A30" s="8">
        <v>4486</v>
      </c>
      <c r="B30" s="9" t="s">
        <v>118</v>
      </c>
      <c r="C30" s="10">
        <v>43318</v>
      </c>
      <c r="D30" s="11">
        <v>81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113</v>
      </c>
      <c r="J30" s="12" t="s">
        <v>114</v>
      </c>
      <c r="K30" s="13" t="s">
        <v>40</v>
      </c>
      <c r="L30" s="11" t="str">
        <f>"000003"</f>
        <v>000003</v>
      </c>
      <c r="M30" s="10">
        <v>42930</v>
      </c>
      <c r="N30" s="11" t="str">
        <f>"000069"</f>
        <v>000069</v>
      </c>
      <c r="O30" s="10">
        <v>43185</v>
      </c>
      <c r="P30" s="11" t="str">
        <f>"000071"</f>
        <v>000071</v>
      </c>
      <c r="Q30" s="10">
        <v>43185</v>
      </c>
      <c r="R30" s="11">
        <v>16</v>
      </c>
      <c r="S30" s="11" t="str">
        <f>"004879"</f>
        <v>004879</v>
      </c>
      <c r="T30" s="10">
        <v>43316</v>
      </c>
      <c r="U30" s="14">
        <v>4.9132699999999998</v>
      </c>
      <c r="V30" s="14">
        <v>0.61695999999999995</v>
      </c>
      <c r="W30" s="14">
        <v>4.2963100000000001</v>
      </c>
      <c r="X30" s="11">
        <v>157</v>
      </c>
      <c r="Y30" s="10">
        <v>43318</v>
      </c>
      <c r="Z30" s="11">
        <v>9980796171</v>
      </c>
      <c r="AA30" s="12" t="s">
        <v>115</v>
      </c>
      <c r="AB30" s="11" t="s">
        <v>116</v>
      </c>
      <c r="AC30" s="12" t="s">
        <v>117</v>
      </c>
      <c r="AD30" s="11" t="s">
        <v>100</v>
      </c>
      <c r="AE30" s="12" t="s">
        <v>101</v>
      </c>
      <c r="AF30" s="14">
        <v>4.9132700000000001E-2</v>
      </c>
      <c r="AG30" s="11" t="s">
        <v>46</v>
      </c>
    </row>
    <row r="31" spans="1:33" x14ac:dyDescent="0.2">
      <c r="A31" s="8">
        <v>4813</v>
      </c>
      <c r="B31" s="9" t="s">
        <v>118</v>
      </c>
      <c r="C31" s="10">
        <v>43326</v>
      </c>
      <c r="D31" s="11">
        <v>81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129</v>
      </c>
      <c r="J31" s="12" t="s">
        <v>130</v>
      </c>
      <c r="K31" s="13" t="s">
        <v>40</v>
      </c>
      <c r="L31" s="11" t="str">
        <f>"000045"</f>
        <v>000045</v>
      </c>
      <c r="M31" s="10">
        <v>41859</v>
      </c>
      <c r="N31" s="11" t="str">
        <f>"000049"</f>
        <v>000049</v>
      </c>
      <c r="O31" s="10">
        <v>42671</v>
      </c>
      <c r="P31" s="11" t="str">
        <f>"000297"</f>
        <v>000297</v>
      </c>
      <c r="Q31" s="10">
        <v>42817</v>
      </c>
      <c r="R31" s="11">
        <v>14</v>
      </c>
      <c r="S31" s="11" t="str">
        <f>"005011"</f>
        <v>005011</v>
      </c>
      <c r="T31" s="10">
        <v>43320</v>
      </c>
      <c r="U31" s="14">
        <v>7.7009600000000002</v>
      </c>
      <c r="V31" s="14">
        <v>1.1887799999999999</v>
      </c>
      <c r="W31" s="14">
        <v>6.5121799999999999</v>
      </c>
      <c r="X31" s="11">
        <v>170</v>
      </c>
      <c r="Y31" s="10">
        <v>43326</v>
      </c>
      <c r="Z31" s="11">
        <v>9480828234</v>
      </c>
      <c r="AA31" s="12" t="s">
        <v>89</v>
      </c>
      <c r="AB31" s="11" t="s">
        <v>131</v>
      </c>
      <c r="AC31" s="12" t="s">
        <v>132</v>
      </c>
      <c r="AD31" s="11" t="s">
        <v>44</v>
      </c>
      <c r="AE31" s="12" t="s">
        <v>45</v>
      </c>
      <c r="AF31" s="14">
        <v>7.7009599999999997E-2</v>
      </c>
      <c r="AG31" s="11" t="s">
        <v>46</v>
      </c>
    </row>
    <row r="32" spans="1:33" x14ac:dyDescent="0.2">
      <c r="A32" s="8">
        <v>4814</v>
      </c>
      <c r="B32" s="9" t="s">
        <v>118</v>
      </c>
      <c r="C32" s="10">
        <v>43326</v>
      </c>
      <c r="D32" s="11">
        <v>81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133</v>
      </c>
      <c r="J32" s="12" t="s">
        <v>134</v>
      </c>
      <c r="K32" s="13" t="s">
        <v>40</v>
      </c>
      <c r="L32" s="11" t="str">
        <f>"000031"</f>
        <v>000031</v>
      </c>
      <c r="M32" s="10">
        <v>42724</v>
      </c>
      <c r="N32" s="11" t="str">
        <f>"000038"</f>
        <v>000038</v>
      </c>
      <c r="O32" s="10">
        <v>42916</v>
      </c>
      <c r="P32" s="11" t="str">
        <f>"000056"</f>
        <v>000056</v>
      </c>
      <c r="Q32" s="10">
        <v>42916</v>
      </c>
      <c r="R32" s="11">
        <v>17</v>
      </c>
      <c r="S32" s="11" t="str">
        <f>"005154"</f>
        <v>005154</v>
      </c>
      <c r="T32" s="10">
        <v>43325</v>
      </c>
      <c r="U32" s="14">
        <v>14.6518</v>
      </c>
      <c r="V32" s="14">
        <v>1.80402</v>
      </c>
      <c r="W32" s="14">
        <v>12.84778</v>
      </c>
      <c r="X32" s="11">
        <v>172</v>
      </c>
      <c r="Y32" s="10">
        <v>43326</v>
      </c>
      <c r="Z32" s="11">
        <v>9980796171</v>
      </c>
      <c r="AA32" s="12" t="s">
        <v>135</v>
      </c>
      <c r="AB32" s="11" t="s">
        <v>136</v>
      </c>
      <c r="AC32" s="12" t="s">
        <v>137</v>
      </c>
      <c r="AD32" s="11" t="s">
        <v>100</v>
      </c>
      <c r="AE32" s="12" t="s">
        <v>101</v>
      </c>
      <c r="AF32" s="14">
        <v>0.14651800000000001</v>
      </c>
      <c r="AG32" s="11" t="s">
        <v>46</v>
      </c>
    </row>
    <row r="33" spans="1:33" x14ac:dyDescent="0.2">
      <c r="A33" s="8">
        <v>4978</v>
      </c>
      <c r="B33" s="9" t="s">
        <v>118</v>
      </c>
      <c r="C33" s="10">
        <v>43330</v>
      </c>
      <c r="D33" s="11">
        <v>81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138</v>
      </c>
      <c r="J33" s="12" t="s">
        <v>139</v>
      </c>
      <c r="K33" s="13" t="s">
        <v>49</v>
      </c>
      <c r="L33" s="11" t="str">
        <f>"000081"</f>
        <v>000081</v>
      </c>
      <c r="M33" s="10">
        <v>43191</v>
      </c>
      <c r="N33" s="11" t="str">
        <f>"000071"</f>
        <v>000071</v>
      </c>
      <c r="O33" s="10">
        <v>42824</v>
      </c>
      <c r="P33" s="11" t="str">
        <f>"000324"</f>
        <v>000324</v>
      </c>
      <c r="Q33" s="10">
        <v>42824</v>
      </c>
      <c r="R33" s="11">
        <v>16</v>
      </c>
      <c r="S33" s="11" t="str">
        <f>"005158"</f>
        <v>005158</v>
      </c>
      <c r="T33" s="10">
        <v>43326</v>
      </c>
      <c r="U33" s="14">
        <v>47.548479999999998</v>
      </c>
      <c r="V33" s="14">
        <v>6.4539099999999996</v>
      </c>
      <c r="W33" s="14">
        <v>41.094569999999997</v>
      </c>
      <c r="X33" s="11">
        <v>174</v>
      </c>
      <c r="Y33" s="10">
        <v>43330</v>
      </c>
      <c r="Z33" s="11">
        <v>9036090277</v>
      </c>
      <c r="AA33" s="12" t="s">
        <v>89</v>
      </c>
      <c r="AB33" s="11" t="s">
        <v>140</v>
      </c>
      <c r="AC33" s="12" t="s">
        <v>141</v>
      </c>
      <c r="AD33" s="11" t="s">
        <v>44</v>
      </c>
      <c r="AE33" s="12" t="s">
        <v>45</v>
      </c>
      <c r="AF33" s="14">
        <v>0.47548479999999999</v>
      </c>
      <c r="AG33" s="11" t="s">
        <v>64</v>
      </c>
    </row>
    <row r="34" spans="1:33" x14ac:dyDescent="0.2">
      <c r="A34" s="8">
        <v>5667</v>
      </c>
      <c r="B34" s="9" t="s">
        <v>142</v>
      </c>
      <c r="C34" s="10">
        <v>43370</v>
      </c>
      <c r="D34" s="11">
        <v>81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143</v>
      </c>
      <c r="J34" s="12" t="s">
        <v>144</v>
      </c>
      <c r="K34" s="13" t="s">
        <v>49</v>
      </c>
      <c r="L34" s="11" t="str">
        <f>"000139"</f>
        <v>000139</v>
      </c>
      <c r="M34" s="10">
        <v>42808</v>
      </c>
      <c r="N34" s="11" t="str">
        <f>"000006"</f>
        <v>000006</v>
      </c>
      <c r="O34" s="10">
        <v>42853</v>
      </c>
      <c r="P34" s="11" t="str">
        <f>"000005"</f>
        <v>000005</v>
      </c>
      <c r="Q34" s="10">
        <v>42853</v>
      </c>
      <c r="R34" s="11">
        <v>17</v>
      </c>
      <c r="S34" s="11" t="str">
        <f>"005874"</f>
        <v>005874</v>
      </c>
      <c r="T34" s="10">
        <v>43367</v>
      </c>
      <c r="U34" s="14">
        <v>25.72381</v>
      </c>
      <c r="V34" s="14">
        <v>3.4409399999999999</v>
      </c>
      <c r="W34" s="14">
        <v>22.282869999999999</v>
      </c>
      <c r="X34" s="11">
        <v>217</v>
      </c>
      <c r="Y34" s="10">
        <v>43370</v>
      </c>
      <c r="Z34" s="11">
        <v>9448086393</v>
      </c>
      <c r="AA34" s="12" t="s">
        <v>145</v>
      </c>
      <c r="AB34" s="11" t="s">
        <v>74</v>
      </c>
      <c r="AC34" s="12" t="s">
        <v>75</v>
      </c>
      <c r="AD34" s="11" t="s">
        <v>44</v>
      </c>
      <c r="AE34" s="12" t="s">
        <v>45</v>
      </c>
      <c r="AF34" s="14">
        <f t="shared" ref="AF34:AF51" si="0">U34/100</f>
        <v>0.25723810000000003</v>
      </c>
      <c r="AG34" s="11" t="s">
        <v>46</v>
      </c>
    </row>
    <row r="35" spans="1:33" x14ac:dyDescent="0.2">
      <c r="A35" s="8">
        <v>5668</v>
      </c>
      <c r="B35" s="9" t="s">
        <v>142</v>
      </c>
      <c r="C35" s="10">
        <v>43370</v>
      </c>
      <c r="D35" s="11">
        <v>81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146</v>
      </c>
      <c r="J35" s="12" t="s">
        <v>147</v>
      </c>
      <c r="K35" s="13" t="s">
        <v>40</v>
      </c>
      <c r="L35" s="11" t="str">
        <f>"000151"</f>
        <v>000151</v>
      </c>
      <c r="M35" s="10">
        <v>42809</v>
      </c>
      <c r="N35" s="11" t="str">
        <f>"000009"</f>
        <v>000009</v>
      </c>
      <c r="O35" s="10">
        <v>42853</v>
      </c>
      <c r="P35" s="11" t="str">
        <f>"000008"</f>
        <v>000008</v>
      </c>
      <c r="Q35" s="10">
        <v>42853</v>
      </c>
      <c r="R35" s="11">
        <v>17</v>
      </c>
      <c r="S35" s="11" t="str">
        <f>"005879"</f>
        <v>005879</v>
      </c>
      <c r="T35" s="10">
        <v>43367</v>
      </c>
      <c r="U35" s="14">
        <v>25.618950000000002</v>
      </c>
      <c r="V35" s="14">
        <v>3.4377</v>
      </c>
      <c r="W35" s="14">
        <v>22.181249999999999</v>
      </c>
      <c r="X35" s="11">
        <v>217</v>
      </c>
      <c r="Y35" s="10">
        <v>43370</v>
      </c>
      <c r="Z35" s="11">
        <v>8892221898</v>
      </c>
      <c r="AA35" s="12" t="s">
        <v>148</v>
      </c>
      <c r="AB35" s="11" t="s">
        <v>74</v>
      </c>
      <c r="AC35" s="12" t="s">
        <v>75</v>
      </c>
      <c r="AD35" s="11" t="s">
        <v>44</v>
      </c>
      <c r="AE35" s="12" t="s">
        <v>45</v>
      </c>
      <c r="AF35" s="14">
        <f t="shared" si="0"/>
        <v>0.25618950000000001</v>
      </c>
      <c r="AG35" s="11" t="s">
        <v>46</v>
      </c>
    </row>
    <row r="36" spans="1:33" x14ac:dyDescent="0.2">
      <c r="A36" s="8">
        <v>5669</v>
      </c>
      <c r="B36" s="9" t="s">
        <v>142</v>
      </c>
      <c r="C36" s="10">
        <v>43370</v>
      </c>
      <c r="D36" s="11">
        <v>81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149</v>
      </c>
      <c r="J36" s="12" t="s">
        <v>150</v>
      </c>
      <c r="K36" s="13" t="s">
        <v>40</v>
      </c>
      <c r="L36" s="11" t="str">
        <f>"000147"</f>
        <v>000147</v>
      </c>
      <c r="M36" s="10">
        <v>42809</v>
      </c>
      <c r="N36" s="11" t="str">
        <f>"000007"</f>
        <v>000007</v>
      </c>
      <c r="O36" s="10">
        <v>42853</v>
      </c>
      <c r="P36" s="11" t="str">
        <f>"000009"</f>
        <v>000009</v>
      </c>
      <c r="Q36" s="10">
        <v>42853</v>
      </c>
      <c r="R36" s="11">
        <v>17</v>
      </c>
      <c r="S36" s="11" t="str">
        <f>"005881"</f>
        <v>005881</v>
      </c>
      <c r="T36" s="10">
        <v>43367</v>
      </c>
      <c r="U36" s="14">
        <v>25.723600000000001</v>
      </c>
      <c r="V36" s="14">
        <v>3.5093899999999998</v>
      </c>
      <c r="W36" s="14">
        <v>22.214210000000001</v>
      </c>
      <c r="X36" s="11">
        <v>217</v>
      </c>
      <c r="Y36" s="10">
        <v>43370</v>
      </c>
      <c r="Z36" s="11">
        <v>8892227898</v>
      </c>
      <c r="AA36" s="12" t="s">
        <v>148</v>
      </c>
      <c r="AB36" s="11" t="s">
        <v>74</v>
      </c>
      <c r="AC36" s="12" t="s">
        <v>75</v>
      </c>
      <c r="AD36" s="11" t="s">
        <v>44</v>
      </c>
      <c r="AE36" s="12" t="s">
        <v>45</v>
      </c>
      <c r="AF36" s="14">
        <f t="shared" si="0"/>
        <v>0.25723600000000002</v>
      </c>
      <c r="AG36" s="11" t="s">
        <v>46</v>
      </c>
    </row>
    <row r="37" spans="1:33" x14ac:dyDescent="0.2">
      <c r="A37" s="8">
        <v>5670</v>
      </c>
      <c r="B37" s="9" t="s">
        <v>142</v>
      </c>
      <c r="C37" s="10">
        <v>43370</v>
      </c>
      <c r="D37" s="11">
        <v>81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151</v>
      </c>
      <c r="J37" s="12" t="s">
        <v>152</v>
      </c>
      <c r="K37" s="13" t="s">
        <v>40</v>
      </c>
      <c r="L37" s="11" t="str">
        <f>"000149"</f>
        <v>000149</v>
      </c>
      <c r="M37" s="10">
        <v>42809</v>
      </c>
      <c r="N37" s="11" t="str">
        <f>"000008"</f>
        <v>000008</v>
      </c>
      <c r="O37" s="10">
        <v>42853</v>
      </c>
      <c r="P37" s="11" t="str">
        <f>"000010"</f>
        <v>000010</v>
      </c>
      <c r="Q37" s="10">
        <v>42853</v>
      </c>
      <c r="R37" s="11">
        <v>17</v>
      </c>
      <c r="S37" s="11" t="str">
        <f>"005882"</f>
        <v>005882</v>
      </c>
      <c r="T37" s="10">
        <v>43367</v>
      </c>
      <c r="U37" s="14">
        <v>25.786259999999999</v>
      </c>
      <c r="V37" s="14">
        <v>3.4503900000000001</v>
      </c>
      <c r="W37" s="14">
        <v>22.33587</v>
      </c>
      <c r="X37" s="11">
        <v>217</v>
      </c>
      <c r="Y37" s="10">
        <v>43370</v>
      </c>
      <c r="Z37" s="11">
        <v>8892221898</v>
      </c>
      <c r="AA37" s="12" t="s">
        <v>148</v>
      </c>
      <c r="AB37" s="11" t="s">
        <v>74</v>
      </c>
      <c r="AC37" s="12" t="s">
        <v>75</v>
      </c>
      <c r="AD37" s="11" t="s">
        <v>44</v>
      </c>
      <c r="AE37" s="12" t="s">
        <v>45</v>
      </c>
      <c r="AF37" s="14">
        <f t="shared" si="0"/>
        <v>0.2578626</v>
      </c>
      <c r="AG37" s="11" t="s">
        <v>46</v>
      </c>
    </row>
    <row r="38" spans="1:33" x14ac:dyDescent="0.2">
      <c r="A38" s="8">
        <v>6100</v>
      </c>
      <c r="B38" s="9" t="s">
        <v>153</v>
      </c>
      <c r="C38" s="10">
        <v>43385</v>
      </c>
      <c r="D38" s="11">
        <v>81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154</v>
      </c>
      <c r="J38" s="12" t="s">
        <v>155</v>
      </c>
      <c r="K38" s="13" t="s">
        <v>49</v>
      </c>
      <c r="L38" s="11" t="str">
        <f>"000076"</f>
        <v>000076</v>
      </c>
      <c r="M38" s="10">
        <v>43265</v>
      </c>
      <c r="N38" s="11" t="str">
        <f>"000028"</f>
        <v>000028</v>
      </c>
      <c r="O38" s="10">
        <v>43265</v>
      </c>
      <c r="P38" s="11" t="str">
        <f>"000100"</f>
        <v>000100</v>
      </c>
      <c r="Q38" s="10">
        <v>43265</v>
      </c>
      <c r="R38" s="11">
        <v>17</v>
      </c>
      <c r="S38" s="11" t="str">
        <f>"006153"</f>
        <v>006153</v>
      </c>
      <c r="T38" s="10">
        <v>43377</v>
      </c>
      <c r="U38" s="14">
        <v>66.742189999999994</v>
      </c>
      <c r="V38" s="14">
        <v>4.1586499999999997</v>
      </c>
      <c r="W38" s="14">
        <v>62.583539999999999</v>
      </c>
      <c r="X38" s="11">
        <v>227</v>
      </c>
      <c r="Y38" s="10">
        <v>43385</v>
      </c>
      <c r="Z38" s="11">
        <v>0</v>
      </c>
      <c r="AA38" s="12" t="s">
        <v>156</v>
      </c>
      <c r="AB38" s="11" t="s">
        <v>55</v>
      </c>
      <c r="AC38" s="12" t="s">
        <v>56</v>
      </c>
      <c r="AD38" s="11" t="s">
        <v>44</v>
      </c>
      <c r="AE38" s="12" t="s">
        <v>45</v>
      </c>
      <c r="AF38" s="14">
        <f t="shared" si="0"/>
        <v>0.6674218999999999</v>
      </c>
      <c r="AG38" s="11" t="s">
        <v>85</v>
      </c>
    </row>
    <row r="39" spans="1:33" x14ac:dyDescent="0.2">
      <c r="A39" s="8">
        <v>6101</v>
      </c>
      <c r="B39" s="9" t="s">
        <v>153</v>
      </c>
      <c r="C39" s="10">
        <v>43385</v>
      </c>
      <c r="D39" s="11">
        <v>81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154</v>
      </c>
      <c r="J39" s="12" t="s">
        <v>155</v>
      </c>
      <c r="K39" s="13" t="s">
        <v>49</v>
      </c>
      <c r="L39" s="11" t="str">
        <f>"000076"</f>
        <v>000076</v>
      </c>
      <c r="M39" s="10">
        <v>43265</v>
      </c>
      <c r="N39" s="11" t="str">
        <f>"000028"</f>
        <v>000028</v>
      </c>
      <c r="O39" s="10">
        <v>43265</v>
      </c>
      <c r="P39" s="11" t="str">
        <f>"000100"</f>
        <v>000100</v>
      </c>
      <c r="Q39" s="10">
        <v>43265</v>
      </c>
      <c r="R39" s="11">
        <v>17</v>
      </c>
      <c r="S39" s="11" t="str">
        <f>"006153"</f>
        <v>006153</v>
      </c>
      <c r="T39" s="10">
        <v>43377</v>
      </c>
      <c r="U39" s="14">
        <v>66.742189999999994</v>
      </c>
      <c r="V39" s="14">
        <v>4.1586499999999997</v>
      </c>
      <c r="W39" s="14">
        <v>62.583539999999999</v>
      </c>
      <c r="X39" s="11">
        <v>227</v>
      </c>
      <c r="Y39" s="10">
        <v>43385</v>
      </c>
      <c r="Z39" s="11">
        <v>0</v>
      </c>
      <c r="AA39" s="12" t="s">
        <v>156</v>
      </c>
      <c r="AB39" s="11" t="s">
        <v>55</v>
      </c>
      <c r="AC39" s="12" t="s">
        <v>56</v>
      </c>
      <c r="AD39" s="11" t="s">
        <v>44</v>
      </c>
      <c r="AE39" s="12" t="s">
        <v>45</v>
      </c>
      <c r="AF39" s="14">
        <f t="shared" si="0"/>
        <v>0.6674218999999999</v>
      </c>
      <c r="AG39" s="11" t="s">
        <v>85</v>
      </c>
    </row>
    <row r="40" spans="1:33" x14ac:dyDescent="0.2">
      <c r="A40" s="8">
        <v>6993</v>
      </c>
      <c r="B40" s="9" t="s">
        <v>153</v>
      </c>
      <c r="C40" s="10">
        <v>43403</v>
      </c>
      <c r="D40" s="11">
        <v>81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157</v>
      </c>
      <c r="J40" s="12" t="s">
        <v>158</v>
      </c>
      <c r="K40" s="13" t="s">
        <v>40</v>
      </c>
      <c r="L40" s="11" t="str">
        <f>"000063"</f>
        <v>000063</v>
      </c>
      <c r="M40" s="10">
        <v>42100</v>
      </c>
      <c r="N40" s="11" t="str">
        <f>"000098"</f>
        <v>000098</v>
      </c>
      <c r="O40" s="10">
        <v>42243</v>
      </c>
      <c r="P40" s="11" t="str">
        <f>"000322"</f>
        <v>000322</v>
      </c>
      <c r="Q40" s="10">
        <v>42277</v>
      </c>
      <c r="R40" s="11">
        <v>14</v>
      </c>
      <c r="S40" s="11" t="str">
        <f>"006992"</f>
        <v>006992</v>
      </c>
      <c r="T40" s="10">
        <v>43400</v>
      </c>
      <c r="U40" s="14">
        <v>14.23959</v>
      </c>
      <c r="V40" s="14">
        <v>2.01139</v>
      </c>
      <c r="W40" s="14">
        <v>12.228199999999999</v>
      </c>
      <c r="X40" s="11">
        <v>254</v>
      </c>
      <c r="Y40" s="10">
        <v>43403</v>
      </c>
      <c r="Z40" s="11">
        <v>9611508999</v>
      </c>
      <c r="AA40" s="12" t="s">
        <v>159</v>
      </c>
      <c r="AB40" s="11" t="s">
        <v>74</v>
      </c>
      <c r="AC40" s="12" t="s">
        <v>75</v>
      </c>
      <c r="AD40" s="11" t="s">
        <v>44</v>
      </c>
      <c r="AE40" s="12" t="s">
        <v>45</v>
      </c>
      <c r="AF40" s="14">
        <f t="shared" si="0"/>
        <v>0.14239589999999999</v>
      </c>
      <c r="AG40" s="11" t="s">
        <v>46</v>
      </c>
    </row>
    <row r="41" spans="1:33" x14ac:dyDescent="0.2">
      <c r="A41" s="8">
        <v>7738</v>
      </c>
      <c r="B41" s="9" t="s">
        <v>160</v>
      </c>
      <c r="C41" s="10">
        <v>43448</v>
      </c>
      <c r="D41" s="11">
        <v>81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161</v>
      </c>
      <c r="J41" s="12" t="s">
        <v>162</v>
      </c>
      <c r="K41" s="13" t="s">
        <v>40</v>
      </c>
      <c r="L41" s="11" t="str">
        <f>"000171"</f>
        <v>000171</v>
      </c>
      <c r="M41" s="10">
        <v>43191</v>
      </c>
      <c r="N41" s="11" t="str">
        <f>"000099"</f>
        <v>000099</v>
      </c>
      <c r="O41" s="10">
        <v>42243</v>
      </c>
      <c r="P41" s="11" t="str">
        <f>"000323"</f>
        <v>000323</v>
      </c>
      <c r="Q41" s="10">
        <v>42277</v>
      </c>
      <c r="R41" s="11">
        <v>15</v>
      </c>
      <c r="S41" s="11" t="str">
        <f>"007952"</f>
        <v>007952</v>
      </c>
      <c r="T41" s="10">
        <v>43447</v>
      </c>
      <c r="U41" s="14">
        <v>19.621649999999999</v>
      </c>
      <c r="V41" s="14">
        <v>2.8536100000000002</v>
      </c>
      <c r="W41" s="14">
        <v>16.768039999999999</v>
      </c>
      <c r="X41" s="11">
        <v>291</v>
      </c>
      <c r="Y41" s="10">
        <v>43448</v>
      </c>
      <c r="Z41" s="11">
        <v>0</v>
      </c>
      <c r="AA41" s="12" t="s">
        <v>89</v>
      </c>
      <c r="AB41" s="11" t="s">
        <v>42</v>
      </c>
      <c r="AC41" s="12" t="s">
        <v>43</v>
      </c>
      <c r="AD41" s="11" t="s">
        <v>44</v>
      </c>
      <c r="AE41" s="12" t="s">
        <v>45</v>
      </c>
      <c r="AF41" s="14">
        <f t="shared" si="0"/>
        <v>0.19621649999999999</v>
      </c>
      <c r="AG41" s="11" t="s">
        <v>64</v>
      </c>
    </row>
    <row r="42" spans="1:33" x14ac:dyDescent="0.2">
      <c r="A42" s="8">
        <v>8330</v>
      </c>
      <c r="B42" s="9" t="s">
        <v>163</v>
      </c>
      <c r="C42" s="10">
        <v>43467</v>
      </c>
      <c r="D42" s="11">
        <v>81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164</v>
      </c>
      <c r="J42" s="12" t="s">
        <v>165</v>
      </c>
      <c r="K42" s="13" t="s">
        <v>166</v>
      </c>
      <c r="L42" s="11" t="str">
        <f>"000028"</f>
        <v>000028</v>
      </c>
      <c r="M42" s="10">
        <v>43421</v>
      </c>
      <c r="N42" s="11" t="str">
        <f>"000074"</f>
        <v>000074</v>
      </c>
      <c r="O42" s="10">
        <v>43421</v>
      </c>
      <c r="P42" s="11" t="str">
        <f>"000073"</f>
        <v>000073</v>
      </c>
      <c r="Q42" s="10">
        <v>43421</v>
      </c>
      <c r="R42" s="11"/>
      <c r="S42" s="11" t="str">
        <f>"007866"</f>
        <v>007866</v>
      </c>
      <c r="T42" s="10">
        <v>43445</v>
      </c>
      <c r="U42" s="14">
        <v>0.90769</v>
      </c>
      <c r="V42" s="14">
        <v>9.1950000000000004E-2</v>
      </c>
      <c r="W42" s="14">
        <v>0.81574000000000002</v>
      </c>
      <c r="X42" s="11">
        <v>311</v>
      </c>
      <c r="Y42" s="10">
        <v>43467</v>
      </c>
      <c r="Z42" s="11">
        <v>9480828222</v>
      </c>
      <c r="AA42" s="12" t="s">
        <v>167</v>
      </c>
      <c r="AB42" s="11" t="s">
        <v>98</v>
      </c>
      <c r="AC42" s="12" t="s">
        <v>99</v>
      </c>
      <c r="AD42" s="11" t="s">
        <v>100</v>
      </c>
      <c r="AE42" s="12" t="s">
        <v>101</v>
      </c>
      <c r="AF42" s="14">
        <f t="shared" si="0"/>
        <v>9.0769000000000006E-3</v>
      </c>
      <c r="AG42" s="11" t="s">
        <v>85</v>
      </c>
    </row>
    <row r="43" spans="1:33" x14ac:dyDescent="0.2">
      <c r="A43" s="8">
        <v>8343</v>
      </c>
      <c r="B43" s="9" t="s">
        <v>163</v>
      </c>
      <c r="C43" s="10">
        <v>43467</v>
      </c>
      <c r="D43" s="11">
        <v>81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168</v>
      </c>
      <c r="J43" s="12" t="s">
        <v>169</v>
      </c>
      <c r="K43" s="13" t="s">
        <v>166</v>
      </c>
      <c r="L43" s="11" t="str">
        <f>"000100"</f>
        <v>000100</v>
      </c>
      <c r="M43" s="10">
        <v>43399</v>
      </c>
      <c r="N43" s="11" t="str">
        <f>"000049"</f>
        <v>000049</v>
      </c>
      <c r="O43" s="10">
        <v>43399</v>
      </c>
      <c r="P43" s="11" t="str">
        <f>"000236"</f>
        <v>000236</v>
      </c>
      <c r="Q43" s="10">
        <v>43399</v>
      </c>
      <c r="R43" s="11"/>
      <c r="S43" s="11" t="str">
        <f>"008025"</f>
        <v>008025</v>
      </c>
      <c r="T43" s="10">
        <v>43451</v>
      </c>
      <c r="U43" s="14">
        <v>14.81109</v>
      </c>
      <c r="V43" s="14">
        <v>1.7551099999999999</v>
      </c>
      <c r="W43" s="14">
        <v>13.05598</v>
      </c>
      <c r="X43" s="11">
        <v>311</v>
      </c>
      <c r="Y43" s="10">
        <v>43467</v>
      </c>
      <c r="Z43" s="11">
        <v>9036090277</v>
      </c>
      <c r="AA43" s="12" t="s">
        <v>170</v>
      </c>
      <c r="AB43" s="11" t="s">
        <v>98</v>
      </c>
      <c r="AC43" s="12" t="s">
        <v>99</v>
      </c>
      <c r="AD43" s="11" t="s">
        <v>44</v>
      </c>
      <c r="AE43" s="12" t="s">
        <v>45</v>
      </c>
      <c r="AF43" s="14">
        <f t="shared" si="0"/>
        <v>0.14811089999999999</v>
      </c>
      <c r="AG43" s="11" t="s">
        <v>85</v>
      </c>
    </row>
    <row r="44" spans="1:33" x14ac:dyDescent="0.2">
      <c r="A44" s="8">
        <v>8937</v>
      </c>
      <c r="B44" s="9" t="s">
        <v>171</v>
      </c>
      <c r="C44" s="10">
        <v>43500</v>
      </c>
      <c r="D44" s="11">
        <v>81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172</v>
      </c>
      <c r="J44" s="12" t="s">
        <v>173</v>
      </c>
      <c r="K44" s="13" t="s">
        <v>166</v>
      </c>
      <c r="L44" s="11" t="str">
        <f>"000033"</f>
        <v>000033</v>
      </c>
      <c r="M44" s="10">
        <v>43445</v>
      </c>
      <c r="N44" s="11" t="str">
        <f>"000087"</f>
        <v>000087</v>
      </c>
      <c r="O44" s="10">
        <v>43445</v>
      </c>
      <c r="P44" s="11" t="str">
        <f>"000088"</f>
        <v>000088</v>
      </c>
      <c r="Q44" s="10">
        <v>43447</v>
      </c>
      <c r="R44" s="11"/>
      <c r="S44" s="11" t="str">
        <f>"008736"</f>
        <v>008736</v>
      </c>
      <c r="T44" s="10">
        <v>43482</v>
      </c>
      <c r="U44" s="14">
        <v>0.88275999999999999</v>
      </c>
      <c r="V44" s="14">
        <v>8.9429999999999996E-2</v>
      </c>
      <c r="W44" s="14">
        <v>0.79332999999999998</v>
      </c>
      <c r="X44" s="11">
        <v>338</v>
      </c>
      <c r="Y44" s="10">
        <v>43500</v>
      </c>
      <c r="Z44" s="11">
        <v>9342541594</v>
      </c>
      <c r="AA44" s="12" t="s">
        <v>89</v>
      </c>
      <c r="AB44" s="11" t="s">
        <v>98</v>
      </c>
      <c r="AC44" s="12" t="s">
        <v>99</v>
      </c>
      <c r="AD44" s="11" t="s">
        <v>100</v>
      </c>
      <c r="AE44" s="12" t="s">
        <v>101</v>
      </c>
      <c r="AF44" s="14">
        <f t="shared" si="0"/>
        <v>8.8275999999999997E-3</v>
      </c>
      <c r="AG44" s="11" t="s">
        <v>85</v>
      </c>
    </row>
    <row r="45" spans="1:33" x14ac:dyDescent="0.2">
      <c r="A45" s="8">
        <v>9124</v>
      </c>
      <c r="B45" s="9" t="s">
        <v>171</v>
      </c>
      <c r="C45" s="10">
        <v>43508</v>
      </c>
      <c r="D45" s="11">
        <v>81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174</v>
      </c>
      <c r="J45" s="12" t="s">
        <v>175</v>
      </c>
      <c r="K45" s="13" t="s">
        <v>40</v>
      </c>
      <c r="L45" s="11" t="str">
        <f>"000140"</f>
        <v>000140</v>
      </c>
      <c r="M45" s="10">
        <v>42808</v>
      </c>
      <c r="N45" s="11" t="str">
        <f>"000014"</f>
        <v>000014</v>
      </c>
      <c r="O45" s="10">
        <v>42886</v>
      </c>
      <c r="P45" s="11" t="str">
        <f>"000088"</f>
        <v>000088</v>
      </c>
      <c r="Q45" s="10">
        <v>42914</v>
      </c>
      <c r="R45" s="11"/>
      <c r="S45" s="11" t="str">
        <f>"009170"</f>
        <v>009170</v>
      </c>
      <c r="T45" s="10">
        <v>43503</v>
      </c>
      <c r="U45" s="14">
        <v>25.48527</v>
      </c>
      <c r="V45" s="14">
        <v>3.4599000000000002</v>
      </c>
      <c r="W45" s="14">
        <v>22.025369999999999</v>
      </c>
      <c r="X45" s="11">
        <v>349</v>
      </c>
      <c r="Y45" s="10">
        <v>43508</v>
      </c>
      <c r="Z45" s="11">
        <v>9448086393</v>
      </c>
      <c r="AA45" s="12" t="s">
        <v>145</v>
      </c>
      <c r="AB45" s="11" t="s">
        <v>74</v>
      </c>
      <c r="AC45" s="12" t="s">
        <v>75</v>
      </c>
      <c r="AD45" s="11" t="s">
        <v>44</v>
      </c>
      <c r="AE45" s="12" t="s">
        <v>45</v>
      </c>
      <c r="AF45" s="14">
        <f t="shared" si="0"/>
        <v>0.25485269999999999</v>
      </c>
      <c r="AG45" s="11" t="s">
        <v>46</v>
      </c>
    </row>
    <row r="46" spans="1:33" x14ac:dyDescent="0.2">
      <c r="A46" s="8">
        <v>9126</v>
      </c>
      <c r="B46" s="9" t="s">
        <v>171</v>
      </c>
      <c r="C46" s="10">
        <v>43508</v>
      </c>
      <c r="D46" s="11">
        <v>81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176</v>
      </c>
      <c r="J46" s="12" t="s">
        <v>177</v>
      </c>
      <c r="K46" s="13" t="s">
        <v>40</v>
      </c>
      <c r="L46" s="11" t="str">
        <f>"000150"</f>
        <v>000150</v>
      </c>
      <c r="M46" s="10">
        <v>42809</v>
      </c>
      <c r="N46" s="11" t="str">
        <f>"000021"</f>
        <v>000021</v>
      </c>
      <c r="O46" s="10">
        <v>42901</v>
      </c>
      <c r="P46" s="11" t="str">
        <f>"000094"</f>
        <v>000094</v>
      </c>
      <c r="Q46" s="10">
        <v>42915</v>
      </c>
      <c r="R46" s="11"/>
      <c r="S46" s="11" t="str">
        <f>"009172"</f>
        <v>009172</v>
      </c>
      <c r="T46" s="10">
        <v>43503</v>
      </c>
      <c r="U46" s="14">
        <v>25.624089999999999</v>
      </c>
      <c r="V46" s="14">
        <v>3.4319700000000002</v>
      </c>
      <c r="W46" s="14">
        <v>22.192119999999999</v>
      </c>
      <c r="X46" s="11">
        <v>349</v>
      </c>
      <c r="Y46" s="10">
        <v>43508</v>
      </c>
      <c r="Z46" s="11">
        <v>8892221898</v>
      </c>
      <c r="AA46" s="12" t="s">
        <v>178</v>
      </c>
      <c r="AB46" s="11" t="s">
        <v>74</v>
      </c>
      <c r="AC46" s="12" t="s">
        <v>75</v>
      </c>
      <c r="AD46" s="11" t="s">
        <v>44</v>
      </c>
      <c r="AE46" s="12" t="s">
        <v>45</v>
      </c>
      <c r="AF46" s="14">
        <f t="shared" si="0"/>
        <v>0.25624089999999999</v>
      </c>
      <c r="AG46" s="11" t="s">
        <v>46</v>
      </c>
    </row>
    <row r="47" spans="1:33" x14ac:dyDescent="0.2">
      <c r="A47" s="8">
        <v>9127</v>
      </c>
      <c r="B47" s="9" t="s">
        <v>171</v>
      </c>
      <c r="C47" s="10">
        <v>43508</v>
      </c>
      <c r="D47" s="11">
        <v>81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179</v>
      </c>
      <c r="J47" s="12" t="s">
        <v>180</v>
      </c>
      <c r="K47" s="13" t="s">
        <v>40</v>
      </c>
      <c r="L47" s="11" t="str">
        <f>"000146"</f>
        <v>000146</v>
      </c>
      <c r="M47" s="10">
        <v>42809</v>
      </c>
      <c r="N47" s="11" t="str">
        <f>"000018"</f>
        <v>000018</v>
      </c>
      <c r="O47" s="10">
        <v>42886</v>
      </c>
      <c r="P47" s="11" t="str">
        <f>"000095"</f>
        <v>000095</v>
      </c>
      <c r="Q47" s="10">
        <v>42915</v>
      </c>
      <c r="R47" s="11"/>
      <c r="S47" s="11" t="str">
        <f>"009173"</f>
        <v>009173</v>
      </c>
      <c r="T47" s="10">
        <v>43503</v>
      </c>
      <c r="U47" s="14">
        <v>21.414010000000001</v>
      </c>
      <c r="V47" s="14">
        <v>2.9137200000000001</v>
      </c>
      <c r="W47" s="14">
        <v>18.50029</v>
      </c>
      <c r="X47" s="11">
        <v>349</v>
      </c>
      <c r="Y47" s="10">
        <v>43508</v>
      </c>
      <c r="Z47" s="11">
        <v>8892221898</v>
      </c>
      <c r="AA47" s="12" t="s">
        <v>178</v>
      </c>
      <c r="AB47" s="11" t="s">
        <v>74</v>
      </c>
      <c r="AC47" s="12" t="s">
        <v>75</v>
      </c>
      <c r="AD47" s="11" t="s">
        <v>44</v>
      </c>
      <c r="AE47" s="12" t="s">
        <v>45</v>
      </c>
      <c r="AF47" s="14">
        <f t="shared" si="0"/>
        <v>0.2141401</v>
      </c>
      <c r="AG47" s="11" t="s">
        <v>46</v>
      </c>
    </row>
    <row r="48" spans="1:33" x14ac:dyDescent="0.2">
      <c r="A48" s="8">
        <v>9128</v>
      </c>
      <c r="B48" s="9" t="s">
        <v>171</v>
      </c>
      <c r="C48" s="10">
        <v>43508</v>
      </c>
      <c r="D48" s="11">
        <v>81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181</v>
      </c>
      <c r="J48" s="12" t="s">
        <v>182</v>
      </c>
      <c r="K48" s="13" t="s">
        <v>40</v>
      </c>
      <c r="L48" s="11" t="str">
        <f>"000152"</f>
        <v>000152</v>
      </c>
      <c r="M48" s="10">
        <v>42809</v>
      </c>
      <c r="N48" s="11" t="str">
        <f>"000019"</f>
        <v>000019</v>
      </c>
      <c r="O48" s="10">
        <v>42886</v>
      </c>
      <c r="P48" s="11" t="str">
        <f>"000096"</f>
        <v>000096</v>
      </c>
      <c r="Q48" s="10">
        <v>42915</v>
      </c>
      <c r="R48" s="11"/>
      <c r="S48" s="11" t="str">
        <f>"009174"</f>
        <v>009174</v>
      </c>
      <c r="T48" s="10">
        <v>43503</v>
      </c>
      <c r="U48" s="14">
        <v>17.0654</v>
      </c>
      <c r="V48" s="14">
        <v>2.3035000000000001</v>
      </c>
      <c r="W48" s="14">
        <v>14.761900000000001</v>
      </c>
      <c r="X48" s="11">
        <v>349</v>
      </c>
      <c r="Y48" s="10">
        <v>43508</v>
      </c>
      <c r="Z48" s="11">
        <v>8892221898</v>
      </c>
      <c r="AA48" s="12" t="s">
        <v>178</v>
      </c>
      <c r="AB48" s="11" t="s">
        <v>74</v>
      </c>
      <c r="AC48" s="12" t="s">
        <v>75</v>
      </c>
      <c r="AD48" s="11" t="s">
        <v>44</v>
      </c>
      <c r="AE48" s="12" t="s">
        <v>45</v>
      </c>
      <c r="AF48" s="14">
        <f t="shared" si="0"/>
        <v>0.170654</v>
      </c>
      <c r="AG48" s="11" t="s">
        <v>46</v>
      </c>
    </row>
    <row r="49" spans="1:33" x14ac:dyDescent="0.2">
      <c r="A49" s="8">
        <v>9158</v>
      </c>
      <c r="B49" s="9" t="s">
        <v>171</v>
      </c>
      <c r="C49" s="10">
        <v>43508</v>
      </c>
      <c r="D49" s="11">
        <v>81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183</v>
      </c>
      <c r="J49" s="12" t="s">
        <v>184</v>
      </c>
      <c r="K49" s="13" t="s">
        <v>49</v>
      </c>
      <c r="L49" s="11" t="str">
        <f>"000175"</f>
        <v>000175</v>
      </c>
      <c r="M49" s="10">
        <v>43191</v>
      </c>
      <c r="N49" s="11" t="str">
        <f>"000010"</f>
        <v>000010</v>
      </c>
      <c r="O49" s="10">
        <v>42853</v>
      </c>
      <c r="P49" s="11" t="str">
        <f>"000061"</f>
        <v>000061</v>
      </c>
      <c r="Q49" s="10">
        <v>42913</v>
      </c>
      <c r="R49" s="11"/>
      <c r="S49" s="11" t="str">
        <f>"009204"</f>
        <v>009204</v>
      </c>
      <c r="T49" s="10">
        <v>43503</v>
      </c>
      <c r="U49" s="14">
        <v>34.427660000000003</v>
      </c>
      <c r="V49" s="14">
        <v>5.2343000000000002</v>
      </c>
      <c r="W49" s="14">
        <v>29.193359999999998</v>
      </c>
      <c r="X49" s="11">
        <v>349</v>
      </c>
      <c r="Y49" s="10">
        <v>43508</v>
      </c>
      <c r="Z49" s="11">
        <v>0</v>
      </c>
      <c r="AA49" s="12" t="s">
        <v>89</v>
      </c>
      <c r="AB49" s="11" t="s">
        <v>42</v>
      </c>
      <c r="AC49" s="12" t="s">
        <v>43</v>
      </c>
      <c r="AD49" s="11" t="s">
        <v>44</v>
      </c>
      <c r="AE49" s="12" t="s">
        <v>45</v>
      </c>
      <c r="AF49" s="14">
        <f t="shared" si="0"/>
        <v>0.34427660000000004</v>
      </c>
      <c r="AG49" s="11" t="s">
        <v>64</v>
      </c>
    </row>
    <row r="50" spans="1:33" x14ac:dyDescent="0.2">
      <c r="A50" s="8">
        <v>9286</v>
      </c>
      <c r="B50" s="9" t="s">
        <v>171</v>
      </c>
      <c r="C50" s="10">
        <v>43521</v>
      </c>
      <c r="D50" s="11">
        <v>81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185</v>
      </c>
      <c r="J50" s="12" t="s">
        <v>186</v>
      </c>
      <c r="K50" s="13" t="s">
        <v>125</v>
      </c>
      <c r="L50" s="11" t="str">
        <f>"000154"</f>
        <v>000154</v>
      </c>
      <c r="M50" s="10">
        <v>42811</v>
      </c>
      <c r="N50" s="11" t="str">
        <f>"000046"</f>
        <v>000046</v>
      </c>
      <c r="O50" s="10">
        <v>43104</v>
      </c>
      <c r="P50" s="11" t="str">
        <f>"000155"</f>
        <v>000155</v>
      </c>
      <c r="Q50" s="10">
        <v>43104</v>
      </c>
      <c r="R50" s="11"/>
      <c r="S50" s="11" t="str">
        <f>"009320"</f>
        <v>009320</v>
      </c>
      <c r="T50" s="10">
        <v>43517</v>
      </c>
      <c r="U50" s="14">
        <v>9.1392100000000003</v>
      </c>
      <c r="V50" s="14">
        <v>0.69730999999999999</v>
      </c>
      <c r="W50" s="14">
        <v>8.4419000000000004</v>
      </c>
      <c r="X50" s="11">
        <v>358</v>
      </c>
      <c r="Y50" s="10">
        <v>43521</v>
      </c>
      <c r="Z50" s="11">
        <v>0</v>
      </c>
      <c r="AA50" s="12" t="s">
        <v>187</v>
      </c>
      <c r="AB50" s="11" t="s">
        <v>74</v>
      </c>
      <c r="AC50" s="12" t="s">
        <v>75</v>
      </c>
      <c r="AD50" s="11" t="s">
        <v>44</v>
      </c>
      <c r="AE50" s="12" t="s">
        <v>45</v>
      </c>
      <c r="AF50" s="14">
        <f t="shared" si="0"/>
        <v>9.1392100000000004E-2</v>
      </c>
      <c r="AG50" s="11" t="s">
        <v>46</v>
      </c>
    </row>
    <row r="51" spans="1:33" x14ac:dyDescent="0.2">
      <c r="A51" s="8">
        <v>9998</v>
      </c>
      <c r="B51" s="9" t="s">
        <v>188</v>
      </c>
      <c r="C51" s="10">
        <v>43552</v>
      </c>
      <c r="D51" s="11">
        <v>81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189</v>
      </c>
      <c r="J51" s="12" t="s">
        <v>190</v>
      </c>
      <c r="K51" s="13" t="s">
        <v>49</v>
      </c>
      <c r="L51" s="11" t="str">
        <f>"000101"</f>
        <v>000101</v>
      </c>
      <c r="M51" s="10">
        <v>43191</v>
      </c>
      <c r="N51" s="11" t="str">
        <f>"000035"</f>
        <v>000035</v>
      </c>
      <c r="O51" s="10">
        <v>42916</v>
      </c>
      <c r="P51" s="11" t="str">
        <f>"000158"</f>
        <v>000158</v>
      </c>
      <c r="Q51" s="10">
        <v>42916</v>
      </c>
      <c r="R51" s="11"/>
      <c r="S51" s="11" t="str">
        <f>"010060"</f>
        <v>010060</v>
      </c>
      <c r="T51" s="10">
        <v>43552</v>
      </c>
      <c r="U51" s="14">
        <v>48.516269999999999</v>
      </c>
      <c r="V51" s="14">
        <v>6.3816300000000004</v>
      </c>
      <c r="W51" s="14">
        <v>42.134639999999997</v>
      </c>
      <c r="X51" s="11">
        <v>390</v>
      </c>
      <c r="Y51" s="10">
        <v>43552</v>
      </c>
      <c r="Z51" s="11">
        <v>9448906339</v>
      </c>
      <c r="AA51" s="12" t="s">
        <v>89</v>
      </c>
      <c r="AB51" s="11" t="s">
        <v>140</v>
      </c>
      <c r="AC51" s="12" t="s">
        <v>141</v>
      </c>
      <c r="AD51" s="11" t="s">
        <v>44</v>
      </c>
      <c r="AE51" s="12" t="s">
        <v>45</v>
      </c>
      <c r="AF51" s="14">
        <f t="shared" si="0"/>
        <v>0.4851627</v>
      </c>
      <c r="AG51" s="11" t="s">
        <v>64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2019-06-13T07:49:40Z</dcterms:modified>
</cp:coreProperties>
</file>