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6" i="1" l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<sst xmlns="http://schemas.openxmlformats.org/spreadsheetml/2006/main" count="663" uniqueCount="194">
  <si>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</si>
  <si>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</si>
  <si>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</si>
  <si>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</si>
  <si>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</si>
  <si>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</si>
  <si>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</si>
  <si>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</si>
  <si>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</si>
  <si>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</si>
  <si>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</si>
  <si>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</si>
  <si>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</si>
  <si>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</si>
  <si>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</si>
  <si>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</si>
  <si>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</si>
  <si>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</si>
  <si>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</si>
  <si>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</si>
  <si>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</si>
  <si>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</si>
  <si>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</si>
  <si>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</si>
  <si>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</si>
  <si>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</si>
  <si>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</si>
  <si>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</si>
  <si>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</si>
  <si>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</si>
  <si>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</si>
  <si>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</si>
  <si>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</si>
  <si>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</si>
  <si>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Kadugodi</t>
  </si>
  <si>
    <t>White Field</t>
  </si>
  <si>
    <t>Mahadeva Pura</t>
  </si>
  <si>
    <t>083-16-000027</t>
  </si>
  <si>
    <t>Repair to Govt. Hospital building and construction of Compound wall at Kadugudi in ward no 83</t>
  </si>
  <si>
    <t>Other Ward Works</t>
  </si>
  <si>
    <t xml:space="preserve"> G V Anantha Narayana</t>
  </si>
  <si>
    <t>P3089</t>
  </si>
  <si>
    <t>Special Development works in 7 CMC and 1 TMC area in BBMP</t>
  </si>
  <si>
    <t>ddo360</t>
  </si>
  <si>
    <t xml:space="preserve"> Assistant Executive Engineer White field Mahadevapura Zone</t>
  </si>
  <si>
    <t>Pending</t>
  </si>
  <si>
    <t>May</t>
  </si>
  <si>
    <t>083-17-000028</t>
  </si>
  <si>
    <t xml:space="preserve">Improvements to road and drain from Whitefield Main road to Ambedkargutta in Ward No. 83 </t>
  </si>
  <si>
    <t>Roads &amp; Drivablility</t>
  </si>
  <si>
    <t>KRIDL</t>
  </si>
  <si>
    <t>P3158</t>
  </si>
  <si>
    <t>SIP Infrastructure Project works</t>
  </si>
  <si>
    <t>Spill Over</t>
  </si>
  <si>
    <t>June</t>
  </si>
  <si>
    <t>083-13-000029</t>
  </si>
  <si>
    <t>Fund earmarked for emergency works at Kadugudi ward no 83</t>
  </si>
  <si>
    <t>RAMAIAH</t>
  </si>
  <si>
    <t>P1771</t>
  </si>
  <si>
    <t>Zone Works - POW Works</t>
  </si>
  <si>
    <t>083-14-000040</t>
  </si>
  <si>
    <t>Improvements of road and RCC drain from dairy to Post office road in Rudrappa Layout in Channasandra at Kadugudi Ward no 83</t>
  </si>
  <si>
    <t>Footpaths &amp; Walkability</t>
  </si>
  <si>
    <t>M/S KRIDL</t>
  </si>
  <si>
    <t>P0190</t>
  </si>
  <si>
    <t>Works sanctioned by Hon Mayor</t>
  </si>
  <si>
    <t>083-14-000038</t>
  </si>
  <si>
    <t>Improvements of road in Chandrareddy Layout in Channasandra New Extension at Kadugudi Ward no 83</t>
  </si>
  <si>
    <t>083-16-000021</t>
  </si>
  <si>
    <t>Providing and laying covering slab to existing drain at Kadugudi Vegetable shops road and near Ayappa swamy temple in ward no 83</t>
  </si>
  <si>
    <t>M/S ABHIYANTH CONSTRUCTION AND DEVELOPERS  N SUJAY</t>
  </si>
  <si>
    <t>083-11-000003</t>
  </si>
  <si>
    <t>Construction of CC drain and Improvements to roads in Vijayalakshmi Colony at W-83 Kadugudi</t>
  </si>
  <si>
    <t xml:space="preserve">M/S AJAY ENTEPRISES RAMAIAH </t>
  </si>
  <si>
    <t>083-11-000002</t>
  </si>
  <si>
    <t>Asphalting and improvements to road, drain and Footpath at Vijayalakshmi colony near Fly over in W-83 Kadugudi</t>
  </si>
  <si>
    <t>M/S AJAY ENTEPRISES RAMAIH</t>
  </si>
  <si>
    <t>083-11-000005</t>
  </si>
  <si>
    <t>Asphalting to road at vijayalakshmi colony near Fly over at W-83 Kadugudi</t>
  </si>
  <si>
    <t>M/S AJAY ENTERPRISES RAMAIH</t>
  </si>
  <si>
    <t>July</t>
  </si>
  <si>
    <t>083-17-000021</t>
  </si>
  <si>
    <t>Repairs and Improvements to Over Head Tank at Dinnur and Channasnadra in Ward No. 83 Kadugudi</t>
  </si>
  <si>
    <t>Water &amp; Sanitary</t>
  </si>
  <si>
    <t>Adavibhavi Shridevi</t>
  </si>
  <si>
    <t>P1802</t>
  </si>
  <si>
    <t>Water Supply New Areas</t>
  </si>
  <si>
    <t>083-16-000023</t>
  </si>
  <si>
    <t>Improvements and Asphalting to VSR reddy layout (Sai Baba Temple road) in Kadugudi in ward no 83</t>
  </si>
  <si>
    <t>M Venkatachalpathi</t>
  </si>
  <si>
    <t>083-16-000029</t>
  </si>
  <si>
    <t>Improvements of road from Railway level crossing to HKA road at Kadugudi in ward no83</t>
  </si>
  <si>
    <t>P3106</t>
  </si>
  <si>
    <t>Nagarothana Works</t>
  </si>
  <si>
    <t>083-16-000024</t>
  </si>
  <si>
    <t>Providing and laying covering slab to existing drain at Channasandra Sapatagiri layout in ward no 83</t>
  </si>
  <si>
    <t>G V ANANTHA NARAYANA</t>
  </si>
  <si>
    <t>083-12-000024</t>
  </si>
  <si>
    <t>Improvements and CC road at Main road near Govt School Channasandra in Kadugudi ward no. 83</t>
  </si>
  <si>
    <t>RAMAIAH AJAY ENTERPRISES</t>
  </si>
  <si>
    <t>083-11-000060</t>
  </si>
  <si>
    <t>Construction of RCC drain and asphalting at Whitefield main road to Prashanth layout in Kadugudi ward no:83</t>
  </si>
  <si>
    <t>M Venkatachalapathi</t>
  </si>
  <si>
    <t>P2327</t>
  </si>
  <si>
    <t xml:space="preserve">Developmental Works at Mahadevpura Assembly Constituency </t>
  </si>
  <si>
    <t>083-15-000029</t>
  </si>
  <si>
    <t>Repairs and Maintanance of Electrical Installations in BBMP Buildings in Whitefeild Sub Division limit Ward No 83 84 149</t>
  </si>
  <si>
    <t>M/s Vaishnavi Enterprises</t>
  </si>
  <si>
    <t>P0294</t>
  </si>
  <si>
    <t>M and R to Electrical Inst in BMP Buildings, Schools, M.Homes, Community Halls, Markets and Others</t>
  </si>
  <si>
    <t>ddo365</t>
  </si>
  <si>
    <t xml:space="preserve"> Executive Engineer Electrical Mahadevapura Zone</t>
  </si>
  <si>
    <t>083-16-000001</t>
  </si>
  <si>
    <t>Operation and maintanance of street light fittings in ward no 83 Kadugodi Mahadevapura Zone M05</t>
  </si>
  <si>
    <t>Thirumala Electricals,</t>
  </si>
  <si>
    <t>P0300</t>
  </si>
  <si>
    <t>M and R to Street Lights - Replacement of Burnt Bulbs etc. (Package)</t>
  </si>
  <si>
    <t>August</t>
  </si>
  <si>
    <t>083-16-000010</t>
  </si>
  <si>
    <t>Improvements and Asphalting to OPH road at Kadugudi in Ward No83Kadugudi</t>
  </si>
  <si>
    <t>S K PALANI</t>
  </si>
  <si>
    <t>083-11-000059</t>
  </si>
  <si>
    <t>Improvements to asphalting road and drain in Sharada Vidya mandira to Dakshina Pinakini river in Kadugudi ward no:83</t>
  </si>
  <si>
    <t>D H MELKAR</t>
  </si>
  <si>
    <t>083-16-000022</t>
  </si>
  <si>
    <t>Improvements and Asphalting to main and cross road and Bakery road in Kadugudi Patalamma layout at ward no 83</t>
  </si>
  <si>
    <t>083-18-000001</t>
  </si>
  <si>
    <t>Sinking drilling of borewells providing and fixing pump and motor to provide water supply in ward No 83 Kadugudi</t>
  </si>
  <si>
    <t>083-18-000002</t>
  </si>
  <si>
    <t>Special Repairs to drinking water supply schemes at Dinnur, AKG colony Ramegowdanagara and Channsandra in ward No 83 Kadugudi</t>
  </si>
  <si>
    <t>Drinking Water</t>
  </si>
  <si>
    <t>083-17-000020</t>
  </si>
  <si>
    <t>Repairs and Maintenance of drinking water supply scheme at Dinnur AKG colony Ramegowdanagara and Channasandra in Ward No. 83 Kadugudi</t>
  </si>
  <si>
    <t>THIRUMALA ELECTRICALS   SRI.S.RAMESH</t>
  </si>
  <si>
    <t>September</t>
  </si>
  <si>
    <t>083-16-000014</t>
  </si>
  <si>
    <t>IImprovements to road and Providing and laying covering slab to existing drain at Prashanth layout main road in ward no 83</t>
  </si>
  <si>
    <t>083-14-000032</t>
  </si>
  <si>
    <t>Improvements to road at Burial ground in Kadugudi plantation ward no.83.</t>
  </si>
  <si>
    <t xml:space="preserve">G GOPI </t>
  </si>
  <si>
    <t>083-17-000052</t>
  </si>
  <si>
    <t>Development of Public park at Sy No. 54 Near Pruthvi Layout in ward no 83 Kadugudi</t>
  </si>
  <si>
    <t>Trees, Parks &amp; Playgrounds</t>
  </si>
  <si>
    <t>P2178</t>
  </si>
  <si>
    <t>Works sanctioned by Dy. Mayor</t>
  </si>
  <si>
    <t>October</t>
  </si>
  <si>
    <t xml:space="preserve">THIRUMALA ELECTRICALS, SRI.S.RAMESH </t>
  </si>
  <si>
    <t>November</t>
  </si>
  <si>
    <t>083-16-000015</t>
  </si>
  <si>
    <t>Improvements and Asphalting to cross roads at D Shiva Layout in ward no 83</t>
  </si>
  <si>
    <t>S K PALANI SRI VAISHNAVI ENTER PRISES</t>
  </si>
  <si>
    <t>083-16-000018</t>
  </si>
  <si>
    <t>Improvements to road and drain at Kadugudi Brundavana layout in ward no 83</t>
  </si>
  <si>
    <t>December</t>
  </si>
  <si>
    <t>083-13-000027</t>
  </si>
  <si>
    <t xml:space="preserve">Construction of RCC Culverts in Ambedkarnagara at Ward No 83 </t>
  </si>
  <si>
    <t>K Murilikrishna</t>
  </si>
  <si>
    <t>083-13-000033</t>
  </si>
  <si>
    <t xml:space="preserve">Repair of drain and removing of silt at back side of Anand Singh House at Kadugudi in Ward No 83 </t>
  </si>
  <si>
    <t>K. MURALIKRISHNA</t>
  </si>
  <si>
    <t>January</t>
  </si>
  <si>
    <t>083-18-000027</t>
  </si>
  <si>
    <t>Providing compound wall, water supply, sanitary, electrification and beautification of indira canteen near kadugodi post office at ward no 83</t>
  </si>
  <si>
    <t>Indira Canteen</t>
  </si>
  <si>
    <t xml:space="preserve"> KRIDL</t>
  </si>
  <si>
    <t>Current</t>
  </si>
  <si>
    <t>083-17-000049</t>
  </si>
  <si>
    <t>Improvements to road and drain at Muneshwara Layout main road at Kadugudi in ward no 83</t>
  </si>
  <si>
    <t>February</t>
  </si>
  <si>
    <t>083-18-000025</t>
  </si>
  <si>
    <t xml:space="preserve">Providing UPS Batteries and Electrical works for Indira Canteen in Mahadevapura Zone Ward No-83 Kadugodi </t>
  </si>
  <si>
    <t>083-18-000026</t>
  </si>
  <si>
    <t xml:space="preserve">Providing lighting arrangements to Indira Canteen at HAL Airport- in Ward no 83 </t>
  </si>
  <si>
    <t>083-15-000035</t>
  </si>
  <si>
    <t xml:space="preserve">Restoration work for road cut portion by GAIL from ITPL to BBMP limits via Kadugodi </t>
  </si>
  <si>
    <t>G.Chandra Sekar</t>
  </si>
  <si>
    <t>P2348</t>
  </si>
  <si>
    <t>Deposit Contribution Works</t>
  </si>
  <si>
    <t>ddo690</t>
  </si>
  <si>
    <t xml:space="preserve"> Executive Engineer Road Infrastructure Mahadevapura Division Central Zone</t>
  </si>
  <si>
    <t>March</t>
  </si>
  <si>
    <t>083-17-000055</t>
  </si>
  <si>
    <t>Engagement of Gangman and Hiring of Tractor Tippers for cleaning and Maintenance of road side drains and other cleaning works in works in ward no 83</t>
  </si>
  <si>
    <t>M.Anjinappa</t>
  </si>
  <si>
    <t>P3110</t>
  </si>
  <si>
    <t>14th Finance Commission Grant Works</t>
  </si>
  <si>
    <t>083-16-000033</t>
  </si>
  <si>
    <t>Construction of drains and CC roads to Amir Jan Compound road and Tailor shop road at Kadugudi in Ward No 83 Kadugudi</t>
  </si>
  <si>
    <t>G VARUNKUMAR</t>
  </si>
  <si>
    <t>P3071</t>
  </si>
  <si>
    <t>Development of Backward regions of Muncipal area under BBMP limits</t>
  </si>
  <si>
    <t>083-17-000009</t>
  </si>
  <si>
    <t>Improvements to roads and drains at Shankarapura colony in Kadugudi ward No.83</t>
  </si>
  <si>
    <t xml:space="preserve">V SRINIVAS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</si>
</sst>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workbookViewId="0">
      <pane ySplit="1" topLeftCell="A2" activePane="bottomLeft" state="frozen"/>
      <selection activeCell="H1" sqref="H1"/>
      <selection pane="bottomLeft" activeCell="A2" sqref="A2:XFD46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531</v>
      </c>
      <c r="B2" s="9" t="s">
        <v>33</v>
      </c>
      <c r="C2" s="10">
        <v>43203</v>
      </c>
      <c r="D2" s="11">
        <v>83</v>
      </c>
      <c r="E2" s="12" t="s">
        <v>34</v>
      </c>
      <c r="F2" s="12" t="s">
        <v>35</v>
      </c>
      <c r="G2" s="12" t="s">
        <v>36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"000019"</f>
        <v>000019</v>
      </c>
      <c r="M2" s="10">
        <v>42466</v>
      </c>
      <c r="N2" s="11" t="str">
        <f>"000204"</f>
        <v>000204</v>
      </c>
      <c r="O2" s="10">
        <v>42699</v>
      </c>
      <c r="P2" s="11" t="str">
        <f>"000459"</f>
        <v>000459</v>
      </c>
      <c r="Q2" s="10">
        <v>42705</v>
      </c>
      <c r="R2" s="11">
        <v>16</v>
      </c>
      <c r="S2" s="11" t="str">
        <f>"000387"</f>
        <v>000387</v>
      </c>
      <c r="T2" s="10">
        <v>43197</v>
      </c>
      <c r="U2" s="14">
        <v>9.2821599999999993</v>
      </c>
      <c r="V2" s="14">
        <v>1.1338600000000001</v>
      </c>
      <c r="W2" s="14">
        <v>8.1483000000000008</v>
      </c>
      <c r="X2" s="11">
        <v>20</v>
      </c>
      <c r="Y2" s="10">
        <v>43203</v>
      </c>
      <c r="Z2" s="11">
        <v>9902820502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9.282159999999999E-2</v>
      </c>
      <c r="AG2" s="11" t="s">
        <v>45</v>
      </c>
    </row>
    <row r="3" spans="1:33" x14ac:dyDescent="0.2">
      <c r="A3" s="8">
        <v>1320</v>
      </c>
      <c r="B3" s="9" t="s">
        <v>46</v>
      </c>
      <c r="C3" s="10">
        <v>43241</v>
      </c>
      <c r="D3" s="11">
        <v>83</v>
      </c>
      <c r="E3" s="12" t="s">
        <v>34</v>
      </c>
      <c r="F3" s="12" t="s">
        <v>35</v>
      </c>
      <c r="G3" s="12" t="s">
        <v>36</v>
      </c>
      <c r="H3" s="12" t="s">
        <v>36</v>
      </c>
      <c r="I3" s="11" t="s">
        <v>47</v>
      </c>
      <c r="J3" s="12" t="s">
        <v>48</v>
      </c>
      <c r="K3" s="13" t="s">
        <v>49</v>
      </c>
      <c r="L3" s="11" t="str">
        <f>"000151"</f>
        <v>000151</v>
      </c>
      <c r="M3" s="10">
        <v>42903</v>
      </c>
      <c r="N3" s="11" t="str">
        <f>"000001"</f>
        <v>000001</v>
      </c>
      <c r="O3" s="10">
        <v>43193</v>
      </c>
      <c r="P3" s="11" t="str">
        <f>"000001"</f>
        <v>000001</v>
      </c>
      <c r="Q3" s="10">
        <v>43193</v>
      </c>
      <c r="R3" s="11">
        <v>17</v>
      </c>
      <c r="S3" s="11" t="str">
        <f>"001655"</f>
        <v>001655</v>
      </c>
      <c r="T3" s="10">
        <v>43239</v>
      </c>
      <c r="U3" s="14">
        <v>29.850290000000001</v>
      </c>
      <c r="V3" s="14">
        <v>3.0817000000000001</v>
      </c>
      <c r="W3" s="14">
        <v>26.76859</v>
      </c>
      <c r="X3" s="11">
        <v>55</v>
      </c>
      <c r="Y3" s="10">
        <v>43241</v>
      </c>
      <c r="Z3" s="11">
        <v>9480828222</v>
      </c>
      <c r="AA3" s="12" t="s">
        <v>50</v>
      </c>
      <c r="AB3" s="11" t="s">
        <v>51</v>
      </c>
      <c r="AC3" s="12" t="s">
        <v>52</v>
      </c>
      <c r="AD3" s="11" t="s">
        <v>43</v>
      </c>
      <c r="AE3" s="12" t="s">
        <v>44</v>
      </c>
      <c r="AF3" s="14">
        <v>0.29850290000000002</v>
      </c>
      <c r="AG3" s="11" t="s">
        <v>53</v>
      </c>
    </row>
    <row r="4" spans="1:33" x14ac:dyDescent="0.2">
      <c r="A4" s="8">
        <v>1638</v>
      </c>
      <c r="B4" s="9" t="s">
        <v>54</v>
      </c>
      <c r="C4" s="10">
        <v>43252</v>
      </c>
      <c r="D4" s="11">
        <v>83</v>
      </c>
      <c r="E4" s="12" t="s">
        <v>34</v>
      </c>
      <c r="F4" s="12" t="s">
        <v>35</v>
      </c>
      <c r="G4" s="12" t="s">
        <v>36</v>
      </c>
      <c r="H4" s="12" t="s">
        <v>36</v>
      </c>
      <c r="I4" s="11" t="s">
        <v>55</v>
      </c>
      <c r="J4" s="12" t="s">
        <v>56</v>
      </c>
      <c r="K4" s="13" t="s">
        <v>39</v>
      </c>
      <c r="L4" s="11" t="str">
        <f>"000122"</f>
        <v>000122</v>
      </c>
      <c r="M4" s="10">
        <v>41969</v>
      </c>
      <c r="N4" s="11" t="str">
        <f>"000223"</f>
        <v>000223</v>
      </c>
      <c r="O4" s="10">
        <v>42459</v>
      </c>
      <c r="P4" s="11" t="str">
        <f>"000475"</f>
        <v>000475</v>
      </c>
      <c r="Q4" s="10">
        <v>42460</v>
      </c>
      <c r="R4" s="11">
        <v>13</v>
      </c>
      <c r="S4" s="11" t="str">
        <f>"003286"</f>
        <v>003286</v>
      </c>
      <c r="T4" s="10">
        <v>43284</v>
      </c>
      <c r="U4" s="14">
        <v>5.0182799999999999</v>
      </c>
      <c r="V4" s="14">
        <v>0.64705000000000001</v>
      </c>
      <c r="W4" s="14">
        <v>4.3712299999999997</v>
      </c>
      <c r="X4" s="11">
        <v>63</v>
      </c>
      <c r="Y4" s="10">
        <v>43252</v>
      </c>
      <c r="Z4" s="11">
        <v>9980728302</v>
      </c>
      <c r="AA4" s="12" t="s">
        <v>57</v>
      </c>
      <c r="AB4" s="11" t="s">
        <v>58</v>
      </c>
      <c r="AC4" s="12" t="s">
        <v>59</v>
      </c>
      <c r="AD4" s="11" t="s">
        <v>43</v>
      </c>
      <c r="AE4" s="12" t="s">
        <v>44</v>
      </c>
      <c r="AF4" s="14">
        <v>5.01828E-2</v>
      </c>
      <c r="AG4" s="11" t="s">
        <v>45</v>
      </c>
    </row>
    <row r="5" spans="1:33" x14ac:dyDescent="0.2">
      <c r="A5" s="8">
        <v>1812</v>
      </c>
      <c r="B5" s="9" t="s">
        <v>54</v>
      </c>
      <c r="C5" s="10">
        <v>43257</v>
      </c>
      <c r="D5" s="11">
        <v>83</v>
      </c>
      <c r="E5" s="12" t="s">
        <v>34</v>
      </c>
      <c r="F5" s="12" t="s">
        <v>35</v>
      </c>
      <c r="G5" s="12" t="s">
        <v>36</v>
      </c>
      <c r="H5" s="12" t="s">
        <v>36</v>
      </c>
      <c r="I5" s="11" t="s">
        <v>60</v>
      </c>
      <c r="J5" s="12" t="s">
        <v>61</v>
      </c>
      <c r="K5" s="13" t="s">
        <v>62</v>
      </c>
      <c r="L5" s="11" t="str">
        <f>"000044"</f>
        <v>000044</v>
      </c>
      <c r="M5" s="10">
        <v>41943</v>
      </c>
      <c r="N5" s="11" t="str">
        <f>"000151"</f>
        <v>000151</v>
      </c>
      <c r="O5" s="10">
        <v>42612</v>
      </c>
      <c r="P5" s="11" t="str">
        <f>"000364"</f>
        <v>000364</v>
      </c>
      <c r="Q5" s="10">
        <v>42628</v>
      </c>
      <c r="R5" s="11">
        <v>14</v>
      </c>
      <c r="S5" s="11" t="str">
        <f>"002167"</f>
        <v>002167</v>
      </c>
      <c r="T5" s="10">
        <v>43255</v>
      </c>
      <c r="U5" s="14">
        <v>19.348669999999998</v>
      </c>
      <c r="V5" s="14">
        <v>2.7398600000000002</v>
      </c>
      <c r="W5" s="14">
        <v>16.608809999999998</v>
      </c>
      <c r="X5" s="11">
        <v>71</v>
      </c>
      <c r="Y5" s="10">
        <v>43257</v>
      </c>
      <c r="Z5" s="11">
        <v>9480828222</v>
      </c>
      <c r="AA5" s="12" t="s">
        <v>63</v>
      </c>
      <c r="AB5" s="11" t="s">
        <v>64</v>
      </c>
      <c r="AC5" s="12" t="s">
        <v>65</v>
      </c>
      <c r="AD5" s="11" t="s">
        <v>43</v>
      </c>
      <c r="AE5" s="12" t="s">
        <v>44</v>
      </c>
      <c r="AF5" s="14">
        <v>0.19348669999999998</v>
      </c>
      <c r="AG5" s="11" t="s">
        <v>45</v>
      </c>
    </row>
    <row r="6" spans="1:33" x14ac:dyDescent="0.2">
      <c r="A6" s="8">
        <v>1813</v>
      </c>
      <c r="B6" s="9" t="s">
        <v>54</v>
      </c>
      <c r="C6" s="10">
        <v>43257</v>
      </c>
      <c r="D6" s="11">
        <v>83</v>
      </c>
      <c r="E6" s="12" t="s">
        <v>34</v>
      </c>
      <c r="F6" s="12" t="s">
        <v>35</v>
      </c>
      <c r="G6" s="12" t="s">
        <v>36</v>
      </c>
      <c r="H6" s="12" t="s">
        <v>36</v>
      </c>
      <c r="I6" s="11" t="s">
        <v>66</v>
      </c>
      <c r="J6" s="12" t="s">
        <v>67</v>
      </c>
      <c r="K6" s="13" t="s">
        <v>49</v>
      </c>
      <c r="L6" s="11" t="str">
        <f>"000051"</f>
        <v>000051</v>
      </c>
      <c r="M6" s="10">
        <v>41943</v>
      </c>
      <c r="N6" s="11" t="str">
        <f>"000130"</f>
        <v>000130</v>
      </c>
      <c r="O6" s="10">
        <v>42581</v>
      </c>
      <c r="P6" s="11" t="str">
        <f>"000365"</f>
        <v>000365</v>
      </c>
      <c r="Q6" s="10">
        <v>42628</v>
      </c>
      <c r="R6" s="11">
        <v>14</v>
      </c>
      <c r="S6" s="11" t="str">
        <f>"002168"</f>
        <v>002168</v>
      </c>
      <c r="T6" s="10">
        <v>43255</v>
      </c>
      <c r="U6" s="14">
        <v>14.628299999999999</v>
      </c>
      <c r="V6" s="14">
        <v>2.0692599999999999</v>
      </c>
      <c r="W6" s="14">
        <v>12.55904</v>
      </c>
      <c r="X6" s="11">
        <v>71</v>
      </c>
      <c r="Y6" s="10">
        <v>43257</v>
      </c>
      <c r="Z6" s="11">
        <v>9480828222</v>
      </c>
      <c r="AA6" s="12" t="s">
        <v>63</v>
      </c>
      <c r="AB6" s="11" t="s">
        <v>64</v>
      </c>
      <c r="AC6" s="12" t="s">
        <v>65</v>
      </c>
      <c r="AD6" s="11" t="s">
        <v>43</v>
      </c>
      <c r="AE6" s="12" t="s">
        <v>44</v>
      </c>
      <c r="AF6" s="14">
        <v>0.146283</v>
      </c>
      <c r="AG6" s="11" t="s">
        <v>45</v>
      </c>
    </row>
    <row r="7" spans="1:33" x14ac:dyDescent="0.2">
      <c r="A7" s="8">
        <v>2322</v>
      </c>
      <c r="B7" s="9" t="s">
        <v>54</v>
      </c>
      <c r="C7" s="10">
        <v>43269</v>
      </c>
      <c r="D7" s="11">
        <v>83</v>
      </c>
      <c r="E7" s="12" t="s">
        <v>34</v>
      </c>
      <c r="F7" s="12" t="s">
        <v>35</v>
      </c>
      <c r="G7" s="12" t="s">
        <v>36</v>
      </c>
      <c r="H7" s="12" t="s">
        <v>36</v>
      </c>
      <c r="I7" s="11" t="s">
        <v>68</v>
      </c>
      <c r="J7" s="12" t="s">
        <v>69</v>
      </c>
      <c r="K7" s="13" t="s">
        <v>62</v>
      </c>
      <c r="L7" s="11" t="str">
        <f>"000088"</f>
        <v>000088</v>
      </c>
      <c r="M7" s="10">
        <v>42520</v>
      </c>
      <c r="N7" s="11" t="str">
        <f>"000148"</f>
        <v>000148</v>
      </c>
      <c r="O7" s="10">
        <v>42612</v>
      </c>
      <c r="P7" s="11" t="str">
        <f>"000360"</f>
        <v>000360</v>
      </c>
      <c r="Q7" s="10">
        <v>42628</v>
      </c>
      <c r="R7" s="11">
        <v>16</v>
      </c>
      <c r="S7" s="11" t="str">
        <f>"002555"</f>
        <v>002555</v>
      </c>
      <c r="T7" s="10">
        <v>43265</v>
      </c>
      <c r="U7" s="14">
        <v>9.6527499999999993</v>
      </c>
      <c r="V7" s="14">
        <v>1.3622700000000001</v>
      </c>
      <c r="W7" s="14">
        <v>8.2904800000000005</v>
      </c>
      <c r="X7" s="11">
        <v>90</v>
      </c>
      <c r="Y7" s="10">
        <v>43269</v>
      </c>
      <c r="Z7" s="11">
        <v>9916192935</v>
      </c>
      <c r="AA7" s="12" t="s">
        <v>70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9.6527499999999988E-2</v>
      </c>
      <c r="AG7" s="11" t="s">
        <v>45</v>
      </c>
    </row>
    <row r="8" spans="1:33" x14ac:dyDescent="0.2">
      <c r="A8" s="8">
        <v>2549</v>
      </c>
      <c r="B8" s="9" t="s">
        <v>54</v>
      </c>
      <c r="C8" s="10">
        <v>43274</v>
      </c>
      <c r="D8" s="11">
        <v>83</v>
      </c>
      <c r="E8" s="12" t="s">
        <v>34</v>
      </c>
      <c r="F8" s="12" t="s">
        <v>35</v>
      </c>
      <c r="G8" s="12" t="s">
        <v>36</v>
      </c>
      <c r="H8" s="12" t="s">
        <v>36</v>
      </c>
      <c r="I8" s="11" t="s">
        <v>71</v>
      </c>
      <c r="J8" s="12" t="s">
        <v>72</v>
      </c>
      <c r="K8" s="13" t="s">
        <v>62</v>
      </c>
      <c r="L8" s="11" t="str">
        <f>"000159"</f>
        <v>000159</v>
      </c>
      <c r="M8" s="10">
        <v>40627</v>
      </c>
      <c r="N8" s="11" t="str">
        <f>"000205"</f>
        <v>000205</v>
      </c>
      <c r="O8" s="10">
        <v>41669</v>
      </c>
      <c r="P8" s="11" t="str">
        <f>"000493"</f>
        <v>000493</v>
      </c>
      <c r="Q8" s="10">
        <v>41670</v>
      </c>
      <c r="R8" s="11">
        <v>11</v>
      </c>
      <c r="S8" s="11" t="str">
        <f>"003714"</f>
        <v>003714</v>
      </c>
      <c r="T8" s="10">
        <v>42286</v>
      </c>
      <c r="U8" s="14">
        <v>13.87612</v>
      </c>
      <c r="V8" s="14">
        <v>1.79298</v>
      </c>
      <c r="W8" s="14">
        <v>12.08314</v>
      </c>
      <c r="X8" s="11">
        <v>99</v>
      </c>
      <c r="Y8" s="10">
        <v>43274</v>
      </c>
      <c r="Z8" s="11">
        <v>9980728302</v>
      </c>
      <c r="AA8" s="12" t="s">
        <v>73</v>
      </c>
      <c r="AB8" s="11" t="s">
        <v>58</v>
      </c>
      <c r="AC8" s="12" t="s">
        <v>59</v>
      </c>
      <c r="AD8" s="11" t="s">
        <v>43</v>
      </c>
      <c r="AE8" s="12" t="s">
        <v>44</v>
      </c>
      <c r="AF8" s="14">
        <v>0.1387612</v>
      </c>
      <c r="AG8" s="11" t="s">
        <v>45</v>
      </c>
    </row>
    <row r="9" spans="1:33" x14ac:dyDescent="0.2">
      <c r="A9" s="8">
        <v>2550</v>
      </c>
      <c r="B9" s="9" t="s">
        <v>54</v>
      </c>
      <c r="C9" s="10">
        <v>43274</v>
      </c>
      <c r="D9" s="11">
        <v>83</v>
      </c>
      <c r="E9" s="12" t="s">
        <v>34</v>
      </c>
      <c r="F9" s="12" t="s">
        <v>35</v>
      </c>
      <c r="G9" s="12" t="s">
        <v>36</v>
      </c>
      <c r="H9" s="12" t="s">
        <v>36</v>
      </c>
      <c r="I9" s="11" t="s">
        <v>71</v>
      </c>
      <c r="J9" s="12" t="s">
        <v>72</v>
      </c>
      <c r="K9" s="13" t="s">
        <v>62</v>
      </c>
      <c r="L9" s="11" t="str">
        <f>"000159"</f>
        <v>000159</v>
      </c>
      <c r="M9" s="10">
        <v>40627</v>
      </c>
      <c r="N9" s="11" t="str">
        <f>"000205"</f>
        <v>000205</v>
      </c>
      <c r="O9" s="10">
        <v>41669</v>
      </c>
      <c r="P9" s="11" t="str">
        <f>"000493"</f>
        <v>000493</v>
      </c>
      <c r="Q9" s="10">
        <v>41670</v>
      </c>
      <c r="R9" s="11">
        <v>11</v>
      </c>
      <c r="S9" s="11" t="str">
        <f>"003714"</f>
        <v>003714</v>
      </c>
      <c r="T9" s="10">
        <v>42286</v>
      </c>
      <c r="U9" s="14">
        <v>13.87612</v>
      </c>
      <c r="V9" s="14">
        <v>1.79298</v>
      </c>
      <c r="W9" s="14">
        <v>12.08314</v>
      </c>
      <c r="X9" s="11">
        <v>99</v>
      </c>
      <c r="Y9" s="10">
        <v>43274</v>
      </c>
      <c r="Z9" s="11">
        <v>9980728302</v>
      </c>
      <c r="AA9" s="12" t="s">
        <v>73</v>
      </c>
      <c r="AB9" s="11" t="s">
        <v>58</v>
      </c>
      <c r="AC9" s="12" t="s">
        <v>59</v>
      </c>
      <c r="AD9" s="11" t="s">
        <v>43</v>
      </c>
      <c r="AE9" s="12" t="s">
        <v>44</v>
      </c>
      <c r="AF9" s="14">
        <v>0.1387612</v>
      </c>
      <c r="AG9" s="11" t="s">
        <v>45</v>
      </c>
    </row>
    <row r="10" spans="1:33" x14ac:dyDescent="0.2">
      <c r="A10" s="8">
        <v>2551</v>
      </c>
      <c r="B10" s="9" t="s">
        <v>54</v>
      </c>
      <c r="C10" s="10">
        <v>43274</v>
      </c>
      <c r="D10" s="11">
        <v>83</v>
      </c>
      <c r="E10" s="12" t="s">
        <v>34</v>
      </c>
      <c r="F10" s="12" t="s">
        <v>35</v>
      </c>
      <c r="G10" s="12" t="s">
        <v>36</v>
      </c>
      <c r="H10" s="12" t="s">
        <v>36</v>
      </c>
      <c r="I10" s="11" t="s">
        <v>74</v>
      </c>
      <c r="J10" s="12" t="s">
        <v>75</v>
      </c>
      <c r="K10" s="13" t="s">
        <v>49</v>
      </c>
      <c r="L10" s="11" t="str">
        <f>"000158"</f>
        <v>000158</v>
      </c>
      <c r="M10" s="10">
        <v>40627</v>
      </c>
      <c r="N10" s="11" t="str">
        <f>"000126"</f>
        <v>000126</v>
      </c>
      <c r="O10" s="10">
        <v>42581</v>
      </c>
      <c r="P10" s="11" t="str">
        <f>"000284"</f>
        <v>000284</v>
      </c>
      <c r="Q10" s="10">
        <v>42581</v>
      </c>
      <c r="R10" s="11">
        <v>11</v>
      </c>
      <c r="S10" s="11" t="str">
        <f>"002835"</f>
        <v>002835</v>
      </c>
      <c r="T10" s="10">
        <v>43273</v>
      </c>
      <c r="U10" s="14">
        <v>17.569959999999998</v>
      </c>
      <c r="V10" s="14">
        <v>2.2754099999999999</v>
      </c>
      <c r="W10" s="14">
        <v>15.294549999999999</v>
      </c>
      <c r="X10" s="11">
        <v>99</v>
      </c>
      <c r="Y10" s="10">
        <v>43274</v>
      </c>
      <c r="Z10" s="11">
        <v>9980728302</v>
      </c>
      <c r="AA10" s="12" t="s">
        <v>76</v>
      </c>
      <c r="AB10" s="11" t="s">
        <v>58</v>
      </c>
      <c r="AC10" s="12" t="s">
        <v>59</v>
      </c>
      <c r="AD10" s="11" t="s">
        <v>43</v>
      </c>
      <c r="AE10" s="12" t="s">
        <v>44</v>
      </c>
      <c r="AF10" s="14">
        <v>0.17569959999999998</v>
      </c>
      <c r="AG10" s="11" t="s">
        <v>45</v>
      </c>
    </row>
    <row r="11" spans="1:33" x14ac:dyDescent="0.2">
      <c r="A11" s="8">
        <v>2552</v>
      </c>
      <c r="B11" s="9" t="s">
        <v>54</v>
      </c>
      <c r="C11" s="10">
        <v>43274</v>
      </c>
      <c r="D11" s="11">
        <v>83</v>
      </c>
      <c r="E11" s="12" t="s">
        <v>34</v>
      </c>
      <c r="F11" s="12" t="s">
        <v>35</v>
      </c>
      <c r="G11" s="12" t="s">
        <v>36</v>
      </c>
      <c r="H11" s="12" t="s">
        <v>36</v>
      </c>
      <c r="I11" s="11" t="s">
        <v>77</v>
      </c>
      <c r="J11" s="12" t="s">
        <v>78</v>
      </c>
      <c r="K11" s="13" t="s">
        <v>49</v>
      </c>
      <c r="L11" s="11" t="str">
        <f>"000091"</f>
        <v>000091</v>
      </c>
      <c r="M11" s="10">
        <v>40611</v>
      </c>
      <c r="N11" s="11" t="str">
        <f>"000127"</f>
        <v>000127</v>
      </c>
      <c r="O11" s="10">
        <v>42581</v>
      </c>
      <c r="P11" s="11" t="str">
        <f>"000285"</f>
        <v>000285</v>
      </c>
      <c r="Q11" s="10">
        <v>42581</v>
      </c>
      <c r="R11" s="11">
        <v>11</v>
      </c>
      <c r="S11" s="11" t="str">
        <f>"002836"</f>
        <v>002836</v>
      </c>
      <c r="T11" s="10">
        <v>43273</v>
      </c>
      <c r="U11" s="14">
        <v>10.40385</v>
      </c>
      <c r="V11" s="14">
        <v>1.3756299999999999</v>
      </c>
      <c r="W11" s="14">
        <v>9.0282199999999992</v>
      </c>
      <c r="X11" s="11">
        <v>99</v>
      </c>
      <c r="Y11" s="10">
        <v>43274</v>
      </c>
      <c r="Z11" s="11">
        <v>9980728302</v>
      </c>
      <c r="AA11" s="12" t="s">
        <v>79</v>
      </c>
      <c r="AB11" s="11" t="s">
        <v>58</v>
      </c>
      <c r="AC11" s="12" t="s">
        <v>59</v>
      </c>
      <c r="AD11" s="11" t="s">
        <v>43</v>
      </c>
      <c r="AE11" s="12" t="s">
        <v>44</v>
      </c>
      <c r="AF11" s="14">
        <v>0.10403850000000001</v>
      </c>
      <c r="AG11" s="11" t="s">
        <v>45</v>
      </c>
    </row>
    <row r="12" spans="1:33" x14ac:dyDescent="0.2">
      <c r="A12" s="8">
        <v>2860</v>
      </c>
      <c r="B12" s="9" t="s">
        <v>80</v>
      </c>
      <c r="C12" s="10">
        <v>43283</v>
      </c>
      <c r="D12" s="11">
        <v>83</v>
      </c>
      <c r="E12" s="12" t="s">
        <v>34</v>
      </c>
      <c r="F12" s="12" t="s">
        <v>35</v>
      </c>
      <c r="G12" s="12" t="s">
        <v>36</v>
      </c>
      <c r="H12" s="12" t="s">
        <v>36</v>
      </c>
      <c r="I12" s="11" t="s">
        <v>81</v>
      </c>
      <c r="J12" s="12" t="s">
        <v>82</v>
      </c>
      <c r="K12" s="13" t="s">
        <v>83</v>
      </c>
      <c r="L12" s="11" t="str">
        <f>"000101"</f>
        <v>000101</v>
      </c>
      <c r="M12" s="10">
        <v>42859</v>
      </c>
      <c r="N12" s="11" t="str">
        <f>"0117"</f>
        <v>0117</v>
      </c>
      <c r="O12" s="10">
        <v>1</v>
      </c>
      <c r="P12" s="11" t="str">
        <f>"000229"</f>
        <v>000229</v>
      </c>
      <c r="Q12" s="10">
        <v>42916</v>
      </c>
      <c r="R12" s="11">
        <v>17</v>
      </c>
      <c r="S12" s="11" t="str">
        <f>"003080"</f>
        <v>003080</v>
      </c>
      <c r="T12" s="10">
        <v>43280</v>
      </c>
      <c r="U12" s="14">
        <v>4.8335400000000002</v>
      </c>
      <c r="V12" s="14">
        <v>0.56616999999999995</v>
      </c>
      <c r="W12" s="14">
        <v>4.2673699999999997</v>
      </c>
      <c r="X12" s="11">
        <v>107</v>
      </c>
      <c r="Y12" s="10">
        <v>43283</v>
      </c>
      <c r="Z12" s="11">
        <v>9886291873</v>
      </c>
      <c r="AA12" s="12" t="s">
        <v>84</v>
      </c>
      <c r="AB12" s="11" t="s">
        <v>85</v>
      </c>
      <c r="AC12" s="12" t="s">
        <v>86</v>
      </c>
      <c r="AD12" s="11" t="s">
        <v>43</v>
      </c>
      <c r="AE12" s="12" t="s">
        <v>44</v>
      </c>
      <c r="AF12" s="14">
        <v>4.8335400000000001E-2</v>
      </c>
      <c r="AG12" s="11" t="s">
        <v>45</v>
      </c>
    </row>
    <row r="13" spans="1:33" x14ac:dyDescent="0.2">
      <c r="A13" s="8">
        <v>3066</v>
      </c>
      <c r="B13" s="9" t="s">
        <v>80</v>
      </c>
      <c r="C13" s="10">
        <v>43287</v>
      </c>
      <c r="D13" s="11">
        <v>83</v>
      </c>
      <c r="E13" s="12" t="s">
        <v>34</v>
      </c>
      <c r="F13" s="12" t="s">
        <v>35</v>
      </c>
      <c r="G13" s="12" t="s">
        <v>36</v>
      </c>
      <c r="H13" s="12" t="s">
        <v>36</v>
      </c>
      <c r="I13" s="11" t="s">
        <v>87</v>
      </c>
      <c r="J13" s="12" t="s">
        <v>88</v>
      </c>
      <c r="K13" s="13" t="s">
        <v>49</v>
      </c>
      <c r="L13" s="11" t="str">
        <f>"000022"</f>
        <v>000022</v>
      </c>
      <c r="M13" s="10">
        <v>42467</v>
      </c>
      <c r="N13" s="11" t="str">
        <f>"000183"</f>
        <v>000183</v>
      </c>
      <c r="O13" s="10">
        <v>42671</v>
      </c>
      <c r="P13" s="11" t="str">
        <f>"000441"</f>
        <v>000441</v>
      </c>
      <c r="Q13" s="10">
        <v>42703</v>
      </c>
      <c r="R13" s="11">
        <v>16</v>
      </c>
      <c r="S13" s="11" t="str">
        <f>"003239"</f>
        <v>003239</v>
      </c>
      <c r="T13" s="10">
        <v>43283</v>
      </c>
      <c r="U13" s="14">
        <v>19.129909999999999</v>
      </c>
      <c r="V13" s="14">
        <v>2.5416400000000001</v>
      </c>
      <c r="W13" s="14">
        <v>16.588270000000001</v>
      </c>
      <c r="X13" s="11">
        <v>113</v>
      </c>
      <c r="Y13" s="10">
        <v>43287</v>
      </c>
      <c r="Z13" s="11">
        <v>9611508999</v>
      </c>
      <c r="AA13" s="12" t="s">
        <v>89</v>
      </c>
      <c r="AB13" s="11" t="s">
        <v>41</v>
      </c>
      <c r="AC13" s="12" t="s">
        <v>42</v>
      </c>
      <c r="AD13" s="11" t="s">
        <v>43</v>
      </c>
      <c r="AE13" s="12" t="s">
        <v>44</v>
      </c>
      <c r="AF13" s="14">
        <v>0.1912991</v>
      </c>
      <c r="AG13" s="11" t="s">
        <v>45</v>
      </c>
    </row>
    <row r="14" spans="1:33" x14ac:dyDescent="0.2">
      <c r="A14" s="8">
        <v>3067</v>
      </c>
      <c r="B14" s="9" t="s">
        <v>80</v>
      </c>
      <c r="C14" s="10">
        <v>43287</v>
      </c>
      <c r="D14" s="11">
        <v>83</v>
      </c>
      <c r="E14" s="12" t="s">
        <v>34</v>
      </c>
      <c r="F14" s="12" t="s">
        <v>35</v>
      </c>
      <c r="G14" s="12" t="s">
        <v>36</v>
      </c>
      <c r="H14" s="12" t="s">
        <v>36</v>
      </c>
      <c r="I14" s="11" t="s">
        <v>55</v>
      </c>
      <c r="J14" s="12" t="s">
        <v>56</v>
      </c>
      <c r="K14" s="13" t="s">
        <v>39</v>
      </c>
      <c r="L14" s="11" t="str">
        <f>"000122"</f>
        <v>000122</v>
      </c>
      <c r="M14" s="10">
        <v>41969</v>
      </c>
      <c r="N14" s="11" t="str">
        <f>"000223"</f>
        <v>000223</v>
      </c>
      <c r="O14" s="10">
        <v>42459</v>
      </c>
      <c r="P14" s="11" t="str">
        <f>"000475"</f>
        <v>000475</v>
      </c>
      <c r="Q14" s="10">
        <v>42460</v>
      </c>
      <c r="R14" s="11">
        <v>13</v>
      </c>
      <c r="S14" s="11" t="str">
        <f>"003286"</f>
        <v>003286</v>
      </c>
      <c r="T14" s="10">
        <v>43284</v>
      </c>
      <c r="U14" s="14">
        <v>4.9571399999999999</v>
      </c>
      <c r="V14" s="14">
        <v>0.64015</v>
      </c>
      <c r="W14" s="14">
        <v>4.3169899999999997</v>
      </c>
      <c r="X14" s="11">
        <v>115</v>
      </c>
      <c r="Y14" s="10">
        <v>43287</v>
      </c>
      <c r="Z14" s="11">
        <v>9980728302</v>
      </c>
      <c r="AA14" s="12" t="s">
        <v>57</v>
      </c>
      <c r="AB14" s="11" t="s">
        <v>58</v>
      </c>
      <c r="AC14" s="12" t="s">
        <v>59</v>
      </c>
      <c r="AD14" s="11" t="s">
        <v>43</v>
      </c>
      <c r="AE14" s="12" t="s">
        <v>44</v>
      </c>
      <c r="AF14" s="14">
        <v>4.9571400000000002E-2</v>
      </c>
      <c r="AG14" s="11" t="s">
        <v>45</v>
      </c>
    </row>
    <row r="15" spans="1:33" x14ac:dyDescent="0.2">
      <c r="A15" s="8">
        <v>3068</v>
      </c>
      <c r="B15" s="9" t="s">
        <v>80</v>
      </c>
      <c r="C15" s="10">
        <v>43287</v>
      </c>
      <c r="D15" s="11">
        <v>83</v>
      </c>
      <c r="E15" s="12" t="s">
        <v>34</v>
      </c>
      <c r="F15" s="12" t="s">
        <v>35</v>
      </c>
      <c r="G15" s="12" t="s">
        <v>36</v>
      </c>
      <c r="H15" s="12" t="s">
        <v>36</v>
      </c>
      <c r="I15" s="11" t="s">
        <v>90</v>
      </c>
      <c r="J15" s="12" t="s">
        <v>91</v>
      </c>
      <c r="K15" s="13" t="s">
        <v>49</v>
      </c>
      <c r="L15" s="11" t="str">
        <f>"000092"</f>
        <v>000092</v>
      </c>
      <c r="M15" s="10">
        <v>43039</v>
      </c>
      <c r="N15" s="11" t="str">
        <f>"000018"</f>
        <v>000018</v>
      </c>
      <c r="O15" s="10">
        <v>43224</v>
      </c>
      <c r="P15" s="11" t="str">
        <f>"000046"</f>
        <v>000046</v>
      </c>
      <c r="Q15" s="10">
        <v>43224</v>
      </c>
      <c r="R15" s="11">
        <v>16</v>
      </c>
      <c r="S15" s="11" t="str">
        <f>"003220"</f>
        <v>003220</v>
      </c>
      <c r="T15" s="10">
        <v>43283</v>
      </c>
      <c r="U15" s="14">
        <v>16.401240000000001</v>
      </c>
      <c r="V15" s="14">
        <v>0.62722999999999995</v>
      </c>
      <c r="W15" s="14">
        <v>15.774010000000001</v>
      </c>
      <c r="X15" s="11">
        <v>116</v>
      </c>
      <c r="Y15" s="10">
        <v>43287</v>
      </c>
      <c r="Z15" s="11">
        <v>9980728302</v>
      </c>
      <c r="AA15" s="12" t="s">
        <v>57</v>
      </c>
      <c r="AB15" s="11" t="s">
        <v>92</v>
      </c>
      <c r="AC15" s="12" t="s">
        <v>93</v>
      </c>
      <c r="AD15" s="11" t="s">
        <v>43</v>
      </c>
      <c r="AE15" s="12" t="s">
        <v>44</v>
      </c>
      <c r="AF15" s="14">
        <v>0.1640124</v>
      </c>
      <c r="AG15" s="11" t="s">
        <v>53</v>
      </c>
    </row>
    <row r="16" spans="1:33" x14ac:dyDescent="0.2">
      <c r="A16" s="8">
        <v>3174</v>
      </c>
      <c r="B16" s="9" t="s">
        <v>80</v>
      </c>
      <c r="C16" s="10">
        <v>43290</v>
      </c>
      <c r="D16" s="11">
        <v>83</v>
      </c>
      <c r="E16" s="12" t="s">
        <v>34</v>
      </c>
      <c r="F16" s="12" t="s">
        <v>35</v>
      </c>
      <c r="G16" s="12" t="s">
        <v>36</v>
      </c>
      <c r="H16" s="12" t="s">
        <v>36</v>
      </c>
      <c r="I16" s="11" t="s">
        <v>94</v>
      </c>
      <c r="J16" s="12" t="s">
        <v>95</v>
      </c>
      <c r="K16" s="13" t="s">
        <v>62</v>
      </c>
      <c r="L16" s="11" t="str">
        <f>"000020"</f>
        <v>000020</v>
      </c>
      <c r="M16" s="10">
        <v>42466</v>
      </c>
      <c r="N16" s="11" t="str">
        <f>"000203"</f>
        <v>000203</v>
      </c>
      <c r="O16" s="10">
        <v>42699</v>
      </c>
      <c r="P16" s="11" t="str">
        <f>"000458"</f>
        <v>000458</v>
      </c>
      <c r="Q16" s="10">
        <v>42705</v>
      </c>
      <c r="R16" s="11">
        <v>16</v>
      </c>
      <c r="S16" s="11" t="str">
        <f>"003386"</f>
        <v>003386</v>
      </c>
      <c r="T16" s="10">
        <v>43288</v>
      </c>
      <c r="U16" s="14">
        <v>9.0861400000000003</v>
      </c>
      <c r="V16" s="14">
        <v>1.1467099999999999</v>
      </c>
      <c r="W16" s="14">
        <v>7.9394299999999998</v>
      </c>
      <c r="X16" s="11">
        <v>117</v>
      </c>
      <c r="Y16" s="10">
        <v>43290</v>
      </c>
      <c r="Z16" s="11">
        <v>9902820502</v>
      </c>
      <c r="AA16" s="12" t="s">
        <v>96</v>
      </c>
      <c r="AB16" s="11" t="s">
        <v>41</v>
      </c>
      <c r="AC16" s="12" t="s">
        <v>42</v>
      </c>
      <c r="AD16" s="11" t="s">
        <v>43</v>
      </c>
      <c r="AE16" s="12" t="s">
        <v>44</v>
      </c>
      <c r="AF16" s="14">
        <v>9.0861400000000009E-2</v>
      </c>
      <c r="AG16" s="11" t="s">
        <v>45</v>
      </c>
    </row>
    <row r="17" spans="1:33" x14ac:dyDescent="0.2">
      <c r="A17" s="8">
        <v>3311</v>
      </c>
      <c r="B17" s="9" t="s">
        <v>80</v>
      </c>
      <c r="C17" s="10">
        <v>43297</v>
      </c>
      <c r="D17" s="11">
        <v>83</v>
      </c>
      <c r="E17" s="12" t="s">
        <v>34</v>
      </c>
      <c r="F17" s="12" t="s">
        <v>35</v>
      </c>
      <c r="G17" s="12" t="s">
        <v>36</v>
      </c>
      <c r="H17" s="12" t="s">
        <v>36</v>
      </c>
      <c r="I17" s="11" t="s">
        <v>97</v>
      </c>
      <c r="J17" s="12" t="s">
        <v>98</v>
      </c>
      <c r="K17" s="13" t="s">
        <v>49</v>
      </c>
      <c r="L17" s="11" t="str">
        <f>"00"</f>
        <v>00</v>
      </c>
      <c r="M17" s="10">
        <v>105</v>
      </c>
      <c r="N17" s="11" t="str">
        <f>"000150"</f>
        <v>000150</v>
      </c>
      <c r="O17" s="10">
        <v>42612</v>
      </c>
      <c r="P17" s="11" t="str">
        <f>"000345"</f>
        <v>000345</v>
      </c>
      <c r="Q17" s="10">
        <v>42619</v>
      </c>
      <c r="R17" s="11">
        <v>12</v>
      </c>
      <c r="S17" s="11" t="str">
        <f>"003706"</f>
        <v>003706</v>
      </c>
      <c r="T17" s="10">
        <v>43293</v>
      </c>
      <c r="U17" s="14">
        <v>20.413730000000001</v>
      </c>
      <c r="V17" s="14">
        <v>2.7267199999999998</v>
      </c>
      <c r="W17" s="14">
        <v>17.687010000000001</v>
      </c>
      <c r="X17" s="11">
        <v>125</v>
      </c>
      <c r="Y17" s="10">
        <v>43297</v>
      </c>
      <c r="Z17" s="11">
        <v>9980728302</v>
      </c>
      <c r="AA17" s="12" t="s">
        <v>99</v>
      </c>
      <c r="AB17" s="11" t="s">
        <v>58</v>
      </c>
      <c r="AC17" s="12" t="s">
        <v>59</v>
      </c>
      <c r="AD17" s="11" t="s">
        <v>43</v>
      </c>
      <c r="AE17" s="12" t="s">
        <v>44</v>
      </c>
      <c r="AF17" s="14">
        <v>0.20413730000000002</v>
      </c>
      <c r="AG17" s="11" t="s">
        <v>45</v>
      </c>
    </row>
    <row r="18" spans="1:33" x14ac:dyDescent="0.2">
      <c r="A18" s="8">
        <v>3312</v>
      </c>
      <c r="B18" s="9" t="s">
        <v>80</v>
      </c>
      <c r="C18" s="10">
        <v>43297</v>
      </c>
      <c r="D18" s="11">
        <v>83</v>
      </c>
      <c r="E18" s="12" t="s">
        <v>34</v>
      </c>
      <c r="F18" s="12" t="s">
        <v>35</v>
      </c>
      <c r="G18" s="12" t="s">
        <v>36</v>
      </c>
      <c r="H18" s="12" t="s">
        <v>36</v>
      </c>
      <c r="I18" s="11" t="s">
        <v>100</v>
      </c>
      <c r="J18" s="12" t="s">
        <v>101</v>
      </c>
      <c r="K18" s="13" t="s">
        <v>62</v>
      </c>
      <c r="L18" s="11" t="str">
        <f>"000003"</f>
        <v>000003</v>
      </c>
      <c r="M18" s="10">
        <v>41422</v>
      </c>
      <c r="N18" s="11" t="str">
        <f>"000197"</f>
        <v>000197</v>
      </c>
      <c r="O18" s="10">
        <v>42701</v>
      </c>
      <c r="P18" s="11" t="str">
        <f>"000442"</f>
        <v>000442</v>
      </c>
      <c r="Q18" s="10">
        <v>42703</v>
      </c>
      <c r="R18" s="11">
        <v>11</v>
      </c>
      <c r="S18" s="11" t="str">
        <f>"003709"</f>
        <v>003709</v>
      </c>
      <c r="T18" s="10">
        <v>43293</v>
      </c>
      <c r="U18" s="14">
        <v>18.395779999999998</v>
      </c>
      <c r="V18" s="14">
        <v>2.4039199999999998</v>
      </c>
      <c r="W18" s="14">
        <v>15.991860000000001</v>
      </c>
      <c r="X18" s="11">
        <v>125</v>
      </c>
      <c r="Y18" s="10">
        <v>43297</v>
      </c>
      <c r="Z18" s="11">
        <v>9611508999</v>
      </c>
      <c r="AA18" s="12" t="s">
        <v>102</v>
      </c>
      <c r="AB18" s="11" t="s">
        <v>103</v>
      </c>
      <c r="AC18" s="12" t="s">
        <v>104</v>
      </c>
      <c r="AD18" s="11" t="s">
        <v>43</v>
      </c>
      <c r="AE18" s="12" t="s">
        <v>44</v>
      </c>
      <c r="AF18" s="14">
        <v>0.18395779999999998</v>
      </c>
      <c r="AG18" s="11" t="s">
        <v>45</v>
      </c>
    </row>
    <row r="19" spans="1:33" x14ac:dyDescent="0.2">
      <c r="A19" s="8">
        <v>3521</v>
      </c>
      <c r="B19" s="9" t="s">
        <v>80</v>
      </c>
      <c r="C19" s="10">
        <v>43299</v>
      </c>
      <c r="D19" s="11">
        <v>83</v>
      </c>
      <c r="E19" s="12" t="s">
        <v>34</v>
      </c>
      <c r="F19" s="12" t="s">
        <v>35</v>
      </c>
      <c r="G19" s="12" t="s">
        <v>36</v>
      </c>
      <c r="H19" s="12" t="s">
        <v>36</v>
      </c>
      <c r="I19" s="11" t="s">
        <v>105</v>
      </c>
      <c r="J19" s="12" t="s">
        <v>106</v>
      </c>
      <c r="K19" s="13" t="s">
        <v>39</v>
      </c>
      <c r="L19" s="11" t="str">
        <f>"000009"</f>
        <v>000009</v>
      </c>
      <c r="M19" s="10">
        <v>42945</v>
      </c>
      <c r="N19" s="11" t="str">
        <f>"000011"</f>
        <v>000011</v>
      </c>
      <c r="O19" s="10">
        <v>42948</v>
      </c>
      <c r="P19" s="11" t="str">
        <f>"000011"</f>
        <v>000011</v>
      </c>
      <c r="Q19" s="10">
        <v>42948</v>
      </c>
      <c r="R19" s="11">
        <v>15</v>
      </c>
      <c r="S19" s="11" t="str">
        <f>"003480"</f>
        <v>003480</v>
      </c>
      <c r="T19" s="10">
        <v>43291</v>
      </c>
      <c r="U19" s="14">
        <v>1.01501</v>
      </c>
      <c r="V19" s="14">
        <v>0.12316000000000001</v>
      </c>
      <c r="W19" s="14">
        <v>0.89185000000000003</v>
      </c>
      <c r="X19" s="11">
        <v>127</v>
      </c>
      <c r="Y19" s="10">
        <v>43299</v>
      </c>
      <c r="Z19" s="11">
        <v>9342541594</v>
      </c>
      <c r="AA19" s="12" t="s">
        <v>107</v>
      </c>
      <c r="AB19" s="11" t="s">
        <v>108</v>
      </c>
      <c r="AC19" s="12" t="s">
        <v>109</v>
      </c>
      <c r="AD19" s="11" t="s">
        <v>110</v>
      </c>
      <c r="AE19" s="12" t="s">
        <v>111</v>
      </c>
      <c r="AF19" s="14">
        <v>1.01501E-2</v>
      </c>
      <c r="AG19" s="11" t="s">
        <v>45</v>
      </c>
    </row>
    <row r="20" spans="1:33" x14ac:dyDescent="0.2">
      <c r="A20" s="8">
        <v>4107</v>
      </c>
      <c r="B20" s="9" t="s">
        <v>80</v>
      </c>
      <c r="C20" s="10">
        <v>43308</v>
      </c>
      <c r="D20" s="11">
        <v>83</v>
      </c>
      <c r="E20" s="12" t="s">
        <v>34</v>
      </c>
      <c r="F20" s="12" t="s">
        <v>35</v>
      </c>
      <c r="G20" s="12" t="s">
        <v>36</v>
      </c>
      <c r="H20" s="12" t="s">
        <v>36</v>
      </c>
      <c r="I20" s="11" t="s">
        <v>112</v>
      </c>
      <c r="J20" s="12" t="s">
        <v>113</v>
      </c>
      <c r="K20" s="13" t="s">
        <v>62</v>
      </c>
      <c r="L20" s="11" t="str">
        <f>"000013"</f>
        <v>000013</v>
      </c>
      <c r="M20" s="10">
        <v>42625</v>
      </c>
      <c r="N20" s="11" t="str">
        <f>"000010"</f>
        <v>000010</v>
      </c>
      <c r="O20" s="10">
        <v>42941</v>
      </c>
      <c r="P20" s="11" t="str">
        <f>"000010"</f>
        <v>000010</v>
      </c>
      <c r="Q20" s="10">
        <v>42941</v>
      </c>
      <c r="R20" s="11">
        <v>16</v>
      </c>
      <c r="S20" s="11" t="str">
        <f>"004609"</f>
        <v>004609</v>
      </c>
      <c r="T20" s="10">
        <v>43313</v>
      </c>
      <c r="U20" s="14">
        <v>5.1251300000000004</v>
      </c>
      <c r="V20" s="14">
        <v>0.63668000000000002</v>
      </c>
      <c r="W20" s="14">
        <v>4.4884500000000003</v>
      </c>
      <c r="X20" s="11">
        <v>146</v>
      </c>
      <c r="Y20" s="10">
        <v>43308</v>
      </c>
      <c r="Z20" s="11">
        <v>9845194409</v>
      </c>
      <c r="AA20" s="12" t="s">
        <v>114</v>
      </c>
      <c r="AB20" s="11" t="s">
        <v>115</v>
      </c>
      <c r="AC20" s="12" t="s">
        <v>116</v>
      </c>
      <c r="AD20" s="11" t="s">
        <v>110</v>
      </c>
      <c r="AE20" s="12" t="s">
        <v>111</v>
      </c>
      <c r="AF20" s="14">
        <v>5.1251300000000007E-2</v>
      </c>
      <c r="AG20" s="11" t="s">
        <v>45</v>
      </c>
    </row>
    <row r="21" spans="1:33" x14ac:dyDescent="0.2">
      <c r="A21" s="8">
        <v>4108</v>
      </c>
      <c r="B21" s="9" t="s">
        <v>80</v>
      </c>
      <c r="C21" s="10">
        <v>43308</v>
      </c>
      <c r="D21" s="11">
        <v>83</v>
      </c>
      <c r="E21" s="12" t="s">
        <v>34</v>
      </c>
      <c r="F21" s="12" t="s">
        <v>35</v>
      </c>
      <c r="G21" s="12" t="s">
        <v>36</v>
      </c>
      <c r="H21" s="12" t="s">
        <v>36</v>
      </c>
      <c r="I21" s="11" t="s">
        <v>112</v>
      </c>
      <c r="J21" s="12" t="s">
        <v>113</v>
      </c>
      <c r="K21" s="13" t="s">
        <v>62</v>
      </c>
      <c r="L21" s="11" t="str">
        <f>"000013"</f>
        <v>000013</v>
      </c>
      <c r="M21" s="10">
        <v>42625</v>
      </c>
      <c r="N21" s="11" t="str">
        <f>"000010"</f>
        <v>000010</v>
      </c>
      <c r="O21" s="10">
        <v>42941</v>
      </c>
      <c r="P21" s="11" t="str">
        <f>"000010"</f>
        <v>000010</v>
      </c>
      <c r="Q21" s="10">
        <v>42941</v>
      </c>
      <c r="R21" s="11">
        <v>16</v>
      </c>
      <c r="S21" s="11" t="str">
        <f>"004609"</f>
        <v>004609</v>
      </c>
      <c r="T21" s="10">
        <v>43313</v>
      </c>
      <c r="U21" s="14">
        <v>14.477600000000001</v>
      </c>
      <c r="V21" s="14">
        <v>1.7861499999999999</v>
      </c>
      <c r="W21" s="14">
        <v>12.69145</v>
      </c>
      <c r="X21" s="11">
        <v>146</v>
      </c>
      <c r="Y21" s="10">
        <v>43308</v>
      </c>
      <c r="Z21" s="11">
        <v>9845194409</v>
      </c>
      <c r="AA21" s="12" t="s">
        <v>114</v>
      </c>
      <c r="AB21" s="11" t="s">
        <v>115</v>
      </c>
      <c r="AC21" s="12" t="s">
        <v>116</v>
      </c>
      <c r="AD21" s="11" t="s">
        <v>110</v>
      </c>
      <c r="AE21" s="12" t="s">
        <v>111</v>
      </c>
      <c r="AF21" s="14">
        <v>0.14477600000000002</v>
      </c>
      <c r="AG21" s="11" t="s">
        <v>45</v>
      </c>
    </row>
    <row r="22" spans="1:33" x14ac:dyDescent="0.2">
      <c r="A22" s="8">
        <v>4490</v>
      </c>
      <c r="B22" s="9" t="s">
        <v>117</v>
      </c>
      <c r="C22" s="10">
        <v>43318</v>
      </c>
      <c r="D22" s="11">
        <v>83</v>
      </c>
      <c r="E22" s="12" t="s">
        <v>34</v>
      </c>
      <c r="F22" s="12" t="s">
        <v>35</v>
      </c>
      <c r="G22" s="12" t="s">
        <v>36</v>
      </c>
      <c r="H22" s="12" t="s">
        <v>36</v>
      </c>
      <c r="I22" s="11" t="s">
        <v>112</v>
      </c>
      <c r="J22" s="12" t="s">
        <v>113</v>
      </c>
      <c r="K22" s="13" t="s">
        <v>62</v>
      </c>
      <c r="L22" s="11" t="str">
        <f>"000013"</f>
        <v>000013</v>
      </c>
      <c r="M22" s="10">
        <v>42625</v>
      </c>
      <c r="N22" s="11" t="str">
        <f>"000010"</f>
        <v>000010</v>
      </c>
      <c r="O22" s="10">
        <v>42941</v>
      </c>
      <c r="P22" s="11" t="str">
        <f>"000010"</f>
        <v>000010</v>
      </c>
      <c r="Q22" s="10">
        <v>42941</v>
      </c>
      <c r="R22" s="11">
        <v>16</v>
      </c>
      <c r="S22" s="11" t="str">
        <f>"004609"</f>
        <v>004609</v>
      </c>
      <c r="T22" s="10">
        <v>43313</v>
      </c>
      <c r="U22" s="14">
        <v>12.51679</v>
      </c>
      <c r="V22" s="14">
        <v>1.5182899999999999</v>
      </c>
      <c r="W22" s="14">
        <v>10.9985</v>
      </c>
      <c r="X22" s="11">
        <v>157</v>
      </c>
      <c r="Y22" s="10">
        <v>43318</v>
      </c>
      <c r="Z22" s="11">
        <v>9845194409</v>
      </c>
      <c r="AA22" s="12" t="s">
        <v>114</v>
      </c>
      <c r="AB22" s="11" t="s">
        <v>115</v>
      </c>
      <c r="AC22" s="12" t="s">
        <v>116</v>
      </c>
      <c r="AD22" s="11" t="s">
        <v>110</v>
      </c>
      <c r="AE22" s="12" t="s">
        <v>111</v>
      </c>
      <c r="AF22" s="14">
        <v>0.1251679</v>
      </c>
      <c r="AG22" s="11" t="s">
        <v>45</v>
      </c>
    </row>
    <row r="23" spans="1:33" x14ac:dyDescent="0.2">
      <c r="A23" s="8">
        <v>4819</v>
      </c>
      <c r="B23" s="9" t="s">
        <v>117</v>
      </c>
      <c r="C23" s="10">
        <v>43326</v>
      </c>
      <c r="D23" s="11">
        <v>83</v>
      </c>
      <c r="E23" s="12" t="s">
        <v>34</v>
      </c>
      <c r="F23" s="12" t="s">
        <v>35</v>
      </c>
      <c r="G23" s="12" t="s">
        <v>36</v>
      </c>
      <c r="H23" s="12" t="s">
        <v>36</v>
      </c>
      <c r="I23" s="11" t="s">
        <v>118</v>
      </c>
      <c r="J23" s="12" t="s">
        <v>119</v>
      </c>
      <c r="K23" s="13" t="s">
        <v>49</v>
      </c>
      <c r="L23" s="11" t="str">
        <f>"000009"</f>
        <v>000009</v>
      </c>
      <c r="M23" s="10">
        <v>42462</v>
      </c>
      <c r="N23" s="11" t="str">
        <f>"000283"</f>
        <v>000283</v>
      </c>
      <c r="O23" s="10">
        <v>42816</v>
      </c>
      <c r="P23" s="11" t="str">
        <f>"000682"</f>
        <v>000682</v>
      </c>
      <c r="Q23" s="10">
        <v>42816</v>
      </c>
      <c r="R23" s="11">
        <v>16</v>
      </c>
      <c r="S23" s="11" t="str">
        <f>"005007"</f>
        <v>005007</v>
      </c>
      <c r="T23" s="10">
        <v>43320</v>
      </c>
      <c r="U23" s="14">
        <v>18.83813</v>
      </c>
      <c r="V23" s="14">
        <v>2.4287100000000001</v>
      </c>
      <c r="W23" s="14">
        <v>16.409420000000001</v>
      </c>
      <c r="X23" s="11">
        <v>170</v>
      </c>
      <c r="Y23" s="10">
        <v>43326</v>
      </c>
      <c r="Z23" s="11">
        <v>9886495939</v>
      </c>
      <c r="AA23" s="12" t="s">
        <v>120</v>
      </c>
      <c r="AB23" s="11" t="s">
        <v>58</v>
      </c>
      <c r="AC23" s="12" t="s">
        <v>59</v>
      </c>
      <c r="AD23" s="11" t="s">
        <v>43</v>
      </c>
      <c r="AE23" s="12" t="s">
        <v>44</v>
      </c>
      <c r="AF23" s="14">
        <v>0.1883813</v>
      </c>
      <c r="AG23" s="11" t="s">
        <v>45</v>
      </c>
    </row>
    <row r="24" spans="1:33" x14ac:dyDescent="0.2">
      <c r="A24" s="8">
        <v>4820</v>
      </c>
      <c r="B24" s="9" t="s">
        <v>117</v>
      </c>
      <c r="C24" s="10">
        <v>43326</v>
      </c>
      <c r="D24" s="11">
        <v>83</v>
      </c>
      <c r="E24" s="12" t="s">
        <v>34</v>
      </c>
      <c r="F24" s="12" t="s">
        <v>35</v>
      </c>
      <c r="G24" s="12" t="s">
        <v>36</v>
      </c>
      <c r="H24" s="12" t="s">
        <v>36</v>
      </c>
      <c r="I24" s="11" t="s">
        <v>121</v>
      </c>
      <c r="J24" s="12" t="s">
        <v>122</v>
      </c>
      <c r="K24" s="13" t="s">
        <v>49</v>
      </c>
      <c r="L24" s="11" t="str">
        <f>"000215"</f>
        <v>000215</v>
      </c>
      <c r="M24" s="10">
        <v>40847</v>
      </c>
      <c r="N24" s="11" t="str">
        <f>"000281"</f>
        <v>000281</v>
      </c>
      <c r="O24" s="10">
        <v>42816</v>
      </c>
      <c r="P24" s="11" t="str">
        <f>"000684"</f>
        <v>000684</v>
      </c>
      <c r="Q24" s="10">
        <v>42816</v>
      </c>
      <c r="R24" s="11">
        <v>11</v>
      </c>
      <c r="S24" s="11" t="str">
        <f>"005010"</f>
        <v>005010</v>
      </c>
      <c r="T24" s="10">
        <v>43320</v>
      </c>
      <c r="U24" s="14">
        <v>24.052679999999999</v>
      </c>
      <c r="V24" s="14">
        <v>3.1879300000000002</v>
      </c>
      <c r="W24" s="14">
        <v>20.864750000000001</v>
      </c>
      <c r="X24" s="11">
        <v>170</v>
      </c>
      <c r="Y24" s="10">
        <v>43326</v>
      </c>
      <c r="Z24" s="11">
        <v>9886248746</v>
      </c>
      <c r="AA24" s="12" t="s">
        <v>123</v>
      </c>
      <c r="AB24" s="11" t="s">
        <v>103</v>
      </c>
      <c r="AC24" s="12" t="s">
        <v>104</v>
      </c>
      <c r="AD24" s="11" t="s">
        <v>43</v>
      </c>
      <c r="AE24" s="12" t="s">
        <v>44</v>
      </c>
      <c r="AF24" s="14">
        <v>0.24052679999999999</v>
      </c>
      <c r="AG24" s="11" t="s">
        <v>45</v>
      </c>
    </row>
    <row r="25" spans="1:33" x14ac:dyDescent="0.2">
      <c r="A25" s="8">
        <v>4821</v>
      </c>
      <c r="B25" s="9" t="s">
        <v>117</v>
      </c>
      <c r="C25" s="10">
        <v>43326</v>
      </c>
      <c r="D25" s="11">
        <v>83</v>
      </c>
      <c r="E25" s="12" t="s">
        <v>34</v>
      </c>
      <c r="F25" s="12" t="s">
        <v>35</v>
      </c>
      <c r="G25" s="12" t="s">
        <v>36</v>
      </c>
      <c r="H25" s="12" t="s">
        <v>36</v>
      </c>
      <c r="I25" s="11" t="s">
        <v>124</v>
      </c>
      <c r="J25" s="12" t="s">
        <v>125</v>
      </c>
      <c r="K25" s="13" t="s">
        <v>49</v>
      </c>
      <c r="L25" s="11" t="str">
        <f>"000004"</f>
        <v>000004</v>
      </c>
      <c r="M25" s="10">
        <v>42462</v>
      </c>
      <c r="N25" s="11" t="str">
        <f>"000284"</f>
        <v>000284</v>
      </c>
      <c r="O25" s="10">
        <v>42816</v>
      </c>
      <c r="P25" s="11" t="str">
        <f>"000683"</f>
        <v>000683</v>
      </c>
      <c r="Q25" s="10">
        <v>42816</v>
      </c>
      <c r="R25" s="11">
        <v>16</v>
      </c>
      <c r="S25" s="11" t="str">
        <f>"005054"</f>
        <v>005054</v>
      </c>
      <c r="T25" s="10">
        <v>43322</v>
      </c>
      <c r="U25" s="14">
        <v>18.797509999999999</v>
      </c>
      <c r="V25" s="14">
        <v>2.4241100000000002</v>
      </c>
      <c r="W25" s="14">
        <v>16.3734</v>
      </c>
      <c r="X25" s="11">
        <v>170</v>
      </c>
      <c r="Y25" s="10">
        <v>43326</v>
      </c>
      <c r="Z25" s="11">
        <v>9886495939</v>
      </c>
      <c r="AA25" s="12" t="s">
        <v>120</v>
      </c>
      <c r="AB25" s="11" t="s">
        <v>41</v>
      </c>
      <c r="AC25" s="12" t="s">
        <v>42</v>
      </c>
      <c r="AD25" s="11" t="s">
        <v>43</v>
      </c>
      <c r="AE25" s="12" t="s">
        <v>44</v>
      </c>
      <c r="AF25" s="14">
        <v>0.18797509999999998</v>
      </c>
      <c r="AG25" s="11" t="s">
        <v>45</v>
      </c>
    </row>
    <row r="26" spans="1:33" x14ac:dyDescent="0.2">
      <c r="A26" s="8">
        <v>4822</v>
      </c>
      <c r="B26" s="9" t="s">
        <v>117</v>
      </c>
      <c r="C26" s="10">
        <v>43326</v>
      </c>
      <c r="D26" s="11">
        <v>83</v>
      </c>
      <c r="E26" s="12" t="s">
        <v>34</v>
      </c>
      <c r="F26" s="12" t="s">
        <v>35</v>
      </c>
      <c r="G26" s="12" t="s">
        <v>36</v>
      </c>
      <c r="H26" s="12" t="s">
        <v>36</v>
      </c>
      <c r="I26" s="11" t="s">
        <v>126</v>
      </c>
      <c r="J26" s="12" t="s">
        <v>127</v>
      </c>
      <c r="K26" s="13" t="s">
        <v>83</v>
      </c>
      <c r="L26" s="11" t="str">
        <f>"000057"</f>
        <v>000057</v>
      </c>
      <c r="M26" s="10">
        <v>42977</v>
      </c>
      <c r="N26" s="11" t="str">
        <f>"000023"</f>
        <v>000023</v>
      </c>
      <c r="O26" s="10">
        <v>43005</v>
      </c>
      <c r="P26" s="11" t="str">
        <f>"000075"</f>
        <v>000075</v>
      </c>
      <c r="Q26" s="10">
        <v>43005</v>
      </c>
      <c r="R26" s="11">
        <v>18</v>
      </c>
      <c r="S26" s="11" t="str">
        <f>"004973"</f>
        <v>004973</v>
      </c>
      <c r="T26" s="10">
        <v>43320</v>
      </c>
      <c r="U26" s="14">
        <v>31.605499999999999</v>
      </c>
      <c r="V26" s="14">
        <v>3.8612000000000002</v>
      </c>
      <c r="W26" s="14">
        <v>27.744299999999999</v>
      </c>
      <c r="X26" s="11">
        <v>171</v>
      </c>
      <c r="Y26" s="10">
        <v>43326</v>
      </c>
      <c r="Z26" s="11">
        <v>9480828222</v>
      </c>
      <c r="AA26" s="12" t="s">
        <v>63</v>
      </c>
      <c r="AB26" s="11" t="s">
        <v>85</v>
      </c>
      <c r="AC26" s="12" t="s">
        <v>86</v>
      </c>
      <c r="AD26" s="11" t="s">
        <v>43</v>
      </c>
      <c r="AE26" s="12" t="s">
        <v>44</v>
      </c>
      <c r="AF26" s="14">
        <v>0.31605499999999997</v>
      </c>
      <c r="AG26" s="11" t="s">
        <v>45</v>
      </c>
    </row>
    <row r="27" spans="1:33" x14ac:dyDescent="0.2">
      <c r="A27" s="8">
        <v>4823</v>
      </c>
      <c r="B27" s="9" t="s">
        <v>117</v>
      </c>
      <c r="C27" s="10">
        <v>43326</v>
      </c>
      <c r="D27" s="11">
        <v>83</v>
      </c>
      <c r="E27" s="12" t="s">
        <v>34</v>
      </c>
      <c r="F27" s="12" t="s">
        <v>35</v>
      </c>
      <c r="G27" s="12" t="s">
        <v>36</v>
      </c>
      <c r="H27" s="12" t="s">
        <v>36</v>
      </c>
      <c r="I27" s="11" t="s">
        <v>128</v>
      </c>
      <c r="J27" s="12" t="s">
        <v>129</v>
      </c>
      <c r="K27" s="13" t="s">
        <v>130</v>
      </c>
      <c r="L27" s="11" t="str">
        <f>"000058"</f>
        <v>000058</v>
      </c>
      <c r="M27" s="10">
        <v>42977</v>
      </c>
      <c r="N27" s="11" t="str">
        <f>"000024"</f>
        <v>000024</v>
      </c>
      <c r="O27" s="10">
        <v>43005</v>
      </c>
      <c r="P27" s="11" t="str">
        <f>"000076"</f>
        <v>000076</v>
      </c>
      <c r="Q27" s="10">
        <v>43005</v>
      </c>
      <c r="R27" s="11">
        <v>18</v>
      </c>
      <c r="S27" s="11" t="str">
        <f>"004974"</f>
        <v>004974</v>
      </c>
      <c r="T27" s="10">
        <v>43320</v>
      </c>
      <c r="U27" s="14">
        <v>7.9730499999999997</v>
      </c>
      <c r="V27" s="14">
        <v>0.98097000000000001</v>
      </c>
      <c r="W27" s="14">
        <v>6.9920799999999996</v>
      </c>
      <c r="X27" s="11">
        <v>171</v>
      </c>
      <c r="Y27" s="10">
        <v>43326</v>
      </c>
      <c r="Z27" s="11">
        <v>9480828222</v>
      </c>
      <c r="AA27" s="12" t="s">
        <v>63</v>
      </c>
      <c r="AB27" s="11" t="s">
        <v>85</v>
      </c>
      <c r="AC27" s="12" t="s">
        <v>86</v>
      </c>
      <c r="AD27" s="11" t="s">
        <v>43</v>
      </c>
      <c r="AE27" s="12" t="s">
        <v>44</v>
      </c>
      <c r="AF27" s="14">
        <v>7.9730499999999996E-2</v>
      </c>
      <c r="AG27" s="11" t="s">
        <v>45</v>
      </c>
    </row>
    <row r="28" spans="1:33" x14ac:dyDescent="0.2">
      <c r="A28" s="8">
        <v>4824</v>
      </c>
      <c r="B28" s="9" t="s">
        <v>117</v>
      </c>
      <c r="C28" s="10">
        <v>43326</v>
      </c>
      <c r="D28" s="11">
        <v>83</v>
      </c>
      <c r="E28" s="12" t="s">
        <v>34</v>
      </c>
      <c r="F28" s="12" t="s">
        <v>35</v>
      </c>
      <c r="G28" s="12" t="s">
        <v>36</v>
      </c>
      <c r="H28" s="12" t="s">
        <v>36</v>
      </c>
      <c r="I28" s="11" t="s">
        <v>131</v>
      </c>
      <c r="J28" s="12" t="s">
        <v>132</v>
      </c>
      <c r="K28" s="13" t="s">
        <v>130</v>
      </c>
      <c r="L28" s="11" t="str">
        <f>"000099"</f>
        <v>000099</v>
      </c>
      <c r="M28" s="10">
        <v>42858</v>
      </c>
      <c r="N28" s="11" t="str">
        <f>"000028"</f>
        <v>000028</v>
      </c>
      <c r="O28" s="10">
        <v>43015</v>
      </c>
      <c r="P28" s="11" t="str">
        <f>"000084"</f>
        <v>000084</v>
      </c>
      <c r="Q28" s="10">
        <v>43015</v>
      </c>
      <c r="R28" s="11">
        <v>17</v>
      </c>
      <c r="S28" s="11" t="str">
        <f>"004975"</f>
        <v>004975</v>
      </c>
      <c r="T28" s="10">
        <v>43320</v>
      </c>
      <c r="U28" s="14">
        <v>6.8314000000000004</v>
      </c>
      <c r="V28" s="14">
        <v>0.84036</v>
      </c>
      <c r="W28" s="14">
        <v>5.9910399999999999</v>
      </c>
      <c r="X28" s="11">
        <v>171</v>
      </c>
      <c r="Y28" s="10">
        <v>43326</v>
      </c>
      <c r="Z28" s="11">
        <v>9480828222</v>
      </c>
      <c r="AA28" s="12" t="s">
        <v>133</v>
      </c>
      <c r="AB28" s="11" t="s">
        <v>85</v>
      </c>
      <c r="AC28" s="12" t="s">
        <v>86</v>
      </c>
      <c r="AD28" s="11" t="s">
        <v>43</v>
      </c>
      <c r="AE28" s="12" t="s">
        <v>44</v>
      </c>
      <c r="AF28" s="14">
        <v>6.8314E-2</v>
      </c>
      <c r="AG28" s="11" t="s">
        <v>45</v>
      </c>
    </row>
    <row r="29" spans="1:33" x14ac:dyDescent="0.2">
      <c r="A29" s="8">
        <v>5252</v>
      </c>
      <c r="B29" s="9" t="s">
        <v>134</v>
      </c>
      <c r="C29" s="10">
        <v>43346</v>
      </c>
      <c r="D29" s="11">
        <v>83</v>
      </c>
      <c r="E29" s="12" t="s">
        <v>34</v>
      </c>
      <c r="F29" s="12" t="s">
        <v>35</v>
      </c>
      <c r="G29" s="12" t="s">
        <v>36</v>
      </c>
      <c r="H29" s="12" t="s">
        <v>36</v>
      </c>
      <c r="I29" s="11" t="s">
        <v>135</v>
      </c>
      <c r="J29" s="12" t="s">
        <v>136</v>
      </c>
      <c r="K29" s="13" t="s">
        <v>49</v>
      </c>
      <c r="L29" s="11" t="str">
        <f>"000005"</f>
        <v>000005</v>
      </c>
      <c r="M29" s="10">
        <v>42462</v>
      </c>
      <c r="N29" s="11" t="str">
        <f>"000282"</f>
        <v>000282</v>
      </c>
      <c r="O29" s="10">
        <v>42816</v>
      </c>
      <c r="P29" s="11" t="str">
        <f>"000681"</f>
        <v>000681</v>
      </c>
      <c r="Q29" s="10">
        <v>42816</v>
      </c>
      <c r="R29" s="11">
        <v>16</v>
      </c>
      <c r="S29" s="11" t="str">
        <f>"005424"</f>
        <v>005424</v>
      </c>
      <c r="T29" s="10">
        <v>43340</v>
      </c>
      <c r="U29" s="14">
        <v>18.876609999999999</v>
      </c>
      <c r="V29" s="14">
        <v>2.4130400000000001</v>
      </c>
      <c r="W29" s="14">
        <v>16.463570000000001</v>
      </c>
      <c r="X29" s="11">
        <v>193</v>
      </c>
      <c r="Y29" s="10">
        <v>43346</v>
      </c>
      <c r="Z29" s="11">
        <v>9886495939</v>
      </c>
      <c r="AA29" s="12" t="s">
        <v>120</v>
      </c>
      <c r="AB29" s="11" t="s">
        <v>41</v>
      </c>
      <c r="AC29" s="12" t="s">
        <v>42</v>
      </c>
      <c r="AD29" s="11" t="s">
        <v>43</v>
      </c>
      <c r="AE29" s="12" t="s">
        <v>44</v>
      </c>
      <c r="AF29" s="14">
        <f t="shared" ref="AF29:AF46" si="0">U29/100</f>
        <v>0.18876609999999999</v>
      </c>
      <c r="AG29" s="11" t="s">
        <v>45</v>
      </c>
    </row>
    <row r="30" spans="1:33" x14ac:dyDescent="0.2">
      <c r="A30" s="8">
        <v>5253</v>
      </c>
      <c r="B30" s="9" t="s">
        <v>134</v>
      </c>
      <c r="C30" s="10">
        <v>43346</v>
      </c>
      <c r="D30" s="11">
        <v>83</v>
      </c>
      <c r="E30" s="12" t="s">
        <v>34</v>
      </c>
      <c r="F30" s="12" t="s">
        <v>35</v>
      </c>
      <c r="G30" s="12" t="s">
        <v>36</v>
      </c>
      <c r="H30" s="12" t="s">
        <v>36</v>
      </c>
      <c r="I30" s="11" t="s">
        <v>137</v>
      </c>
      <c r="J30" s="12" t="s">
        <v>138</v>
      </c>
      <c r="K30" s="13" t="s">
        <v>49</v>
      </c>
      <c r="L30" s="11" t="str">
        <f>"000055"</f>
        <v>000055</v>
      </c>
      <c r="M30" s="10">
        <v>42501</v>
      </c>
      <c r="N30" s="11" t="str">
        <f>"000093"</f>
        <v>000093</v>
      </c>
      <c r="O30" s="10">
        <v>42551</v>
      </c>
      <c r="P30" s="11" t="str">
        <f>"000206"</f>
        <v>000206</v>
      </c>
      <c r="Q30" s="10">
        <v>42551</v>
      </c>
      <c r="R30" s="11">
        <v>14</v>
      </c>
      <c r="S30" s="11" t="str">
        <f>"010493"</f>
        <v>010493</v>
      </c>
      <c r="T30" s="10">
        <v>43174</v>
      </c>
      <c r="U30" s="14">
        <v>14.124459999999999</v>
      </c>
      <c r="V30" s="14">
        <v>1.88104</v>
      </c>
      <c r="W30" s="14">
        <v>12.24342</v>
      </c>
      <c r="X30" s="11">
        <v>193</v>
      </c>
      <c r="Y30" s="10">
        <v>43346</v>
      </c>
      <c r="Z30" s="11">
        <v>9880116566</v>
      </c>
      <c r="AA30" s="12" t="s">
        <v>139</v>
      </c>
      <c r="AB30" s="11" t="s">
        <v>58</v>
      </c>
      <c r="AC30" s="12" t="s">
        <v>59</v>
      </c>
      <c r="AD30" s="11" t="s">
        <v>43</v>
      </c>
      <c r="AE30" s="12" t="s">
        <v>44</v>
      </c>
      <c r="AF30" s="14">
        <f t="shared" si="0"/>
        <v>0.1412446</v>
      </c>
      <c r="AG30" s="11" t="s">
        <v>45</v>
      </c>
    </row>
    <row r="31" spans="1:33" x14ac:dyDescent="0.2">
      <c r="A31" s="8">
        <v>5466</v>
      </c>
      <c r="B31" s="9" t="s">
        <v>134</v>
      </c>
      <c r="C31" s="10">
        <v>43357</v>
      </c>
      <c r="D31" s="11">
        <v>83</v>
      </c>
      <c r="E31" s="12" t="s">
        <v>34</v>
      </c>
      <c r="F31" s="12" t="s">
        <v>35</v>
      </c>
      <c r="G31" s="12" t="s">
        <v>36</v>
      </c>
      <c r="H31" s="12" t="s">
        <v>36</v>
      </c>
      <c r="I31" s="11" t="s">
        <v>140</v>
      </c>
      <c r="J31" s="12" t="s">
        <v>141</v>
      </c>
      <c r="K31" s="13" t="s">
        <v>142</v>
      </c>
      <c r="L31" s="11" t="str">
        <f>"00366"</f>
        <v>00366</v>
      </c>
      <c r="M31" s="10">
        <v>42818</v>
      </c>
      <c r="N31" s="11" t="str">
        <f>"000009"</f>
        <v>000009</v>
      </c>
      <c r="O31" s="10">
        <v>42940</v>
      </c>
      <c r="P31" s="11" t="str">
        <f>"143"</f>
        <v>143</v>
      </c>
      <c r="Q31" s="10">
        <v>42916</v>
      </c>
      <c r="R31" s="11">
        <v>17</v>
      </c>
      <c r="S31" s="11" t="str">
        <f>"005654"</f>
        <v>005654</v>
      </c>
      <c r="T31" s="10">
        <v>43349</v>
      </c>
      <c r="U31" s="14">
        <v>9.8470999999999993</v>
      </c>
      <c r="V31" s="14">
        <v>1.3314600000000001</v>
      </c>
      <c r="W31" s="14">
        <v>8.5156399999999994</v>
      </c>
      <c r="X31" s="11">
        <v>203</v>
      </c>
      <c r="Y31" s="10">
        <v>43357</v>
      </c>
      <c r="Z31" s="11">
        <v>9480828222</v>
      </c>
      <c r="AA31" s="12" t="s">
        <v>63</v>
      </c>
      <c r="AB31" s="11" t="s">
        <v>143</v>
      </c>
      <c r="AC31" s="12" t="s">
        <v>144</v>
      </c>
      <c r="AD31" s="11" t="s">
        <v>43</v>
      </c>
      <c r="AE31" s="12" t="s">
        <v>44</v>
      </c>
      <c r="AF31" s="14">
        <f t="shared" si="0"/>
        <v>9.8470999999999989E-2</v>
      </c>
      <c r="AG31" s="11" t="s">
        <v>45</v>
      </c>
    </row>
    <row r="32" spans="1:33" x14ac:dyDescent="0.2">
      <c r="A32" s="8">
        <v>6553</v>
      </c>
      <c r="B32" s="9" t="s">
        <v>145</v>
      </c>
      <c r="C32" s="10">
        <v>43389</v>
      </c>
      <c r="D32" s="11">
        <v>83</v>
      </c>
      <c r="E32" s="12" t="s">
        <v>34</v>
      </c>
      <c r="F32" s="12" t="s">
        <v>35</v>
      </c>
      <c r="G32" s="12" t="s">
        <v>36</v>
      </c>
      <c r="H32" s="12" t="s">
        <v>36</v>
      </c>
      <c r="I32" s="11" t="s">
        <v>131</v>
      </c>
      <c r="J32" s="12" t="s">
        <v>132</v>
      </c>
      <c r="K32" s="13" t="s">
        <v>130</v>
      </c>
      <c r="L32" s="11" t="str">
        <f>"000099"</f>
        <v>000099</v>
      </c>
      <c r="M32" s="10">
        <v>42858</v>
      </c>
      <c r="N32" s="11" t="str">
        <f>"000028"</f>
        <v>000028</v>
      </c>
      <c r="O32" s="10">
        <v>43015</v>
      </c>
      <c r="P32" s="11" t="str">
        <f>"000084"</f>
        <v>000084</v>
      </c>
      <c r="Q32" s="10">
        <v>43015</v>
      </c>
      <c r="R32" s="11">
        <v>17</v>
      </c>
      <c r="S32" s="11" t="str">
        <f>"004975"</f>
        <v>004975</v>
      </c>
      <c r="T32" s="10">
        <v>43320</v>
      </c>
      <c r="U32" s="14">
        <v>6.0759800000000004</v>
      </c>
      <c r="V32" s="14">
        <v>0.62578999999999996</v>
      </c>
      <c r="W32" s="14">
        <v>5.4501900000000001</v>
      </c>
      <c r="X32" s="11">
        <v>241</v>
      </c>
      <c r="Y32" s="10">
        <v>43389</v>
      </c>
      <c r="Z32" s="11">
        <v>9845194409</v>
      </c>
      <c r="AA32" s="12" t="s">
        <v>146</v>
      </c>
      <c r="AB32" s="11" t="s">
        <v>85</v>
      </c>
      <c r="AC32" s="12" t="s">
        <v>86</v>
      </c>
      <c r="AD32" s="11" t="s">
        <v>43</v>
      </c>
      <c r="AE32" s="12" t="s">
        <v>44</v>
      </c>
      <c r="AF32" s="14">
        <f t="shared" si="0"/>
        <v>6.0759800000000003E-2</v>
      </c>
      <c r="AG32" s="11" t="s">
        <v>45</v>
      </c>
    </row>
    <row r="33" spans="1:33" x14ac:dyDescent="0.2">
      <c r="A33" s="8">
        <v>7225</v>
      </c>
      <c r="B33" s="9" t="s">
        <v>147</v>
      </c>
      <c r="C33" s="10">
        <v>43420</v>
      </c>
      <c r="D33" s="11">
        <v>83</v>
      </c>
      <c r="E33" s="12" t="s">
        <v>34</v>
      </c>
      <c r="F33" s="12" t="s">
        <v>35</v>
      </c>
      <c r="G33" s="12" t="s">
        <v>36</v>
      </c>
      <c r="H33" s="12" t="s">
        <v>36</v>
      </c>
      <c r="I33" s="11" t="s">
        <v>148</v>
      </c>
      <c r="J33" s="12" t="s">
        <v>149</v>
      </c>
      <c r="K33" s="13" t="s">
        <v>49</v>
      </c>
      <c r="L33" s="11" t="str">
        <f>"000006"</f>
        <v>000006</v>
      </c>
      <c r="M33" s="10">
        <v>42462</v>
      </c>
      <c r="N33" s="11" t="str">
        <f>"000026"</f>
        <v>000026</v>
      </c>
      <c r="O33" s="10">
        <v>42884</v>
      </c>
      <c r="P33" s="11" t="str">
        <f>"000056"</f>
        <v>000056</v>
      </c>
      <c r="Q33" s="10">
        <v>42884</v>
      </c>
      <c r="R33" s="11">
        <v>16</v>
      </c>
      <c r="S33" s="11" t="str">
        <f>"007265"</f>
        <v>007265</v>
      </c>
      <c r="T33" s="10">
        <v>43407</v>
      </c>
      <c r="U33" s="14">
        <v>9.4161000000000001</v>
      </c>
      <c r="V33" s="14">
        <v>1.22401</v>
      </c>
      <c r="W33" s="14">
        <v>8.1920900000000003</v>
      </c>
      <c r="X33" s="11">
        <v>266</v>
      </c>
      <c r="Y33" s="10">
        <v>43420</v>
      </c>
      <c r="Z33" s="11">
        <v>9886495939</v>
      </c>
      <c r="AA33" s="12" t="s">
        <v>150</v>
      </c>
      <c r="AB33" s="11" t="s">
        <v>41</v>
      </c>
      <c r="AC33" s="12" t="s">
        <v>42</v>
      </c>
      <c r="AD33" s="11" t="s">
        <v>43</v>
      </c>
      <c r="AE33" s="12" t="s">
        <v>44</v>
      </c>
      <c r="AF33" s="14">
        <f t="shared" si="0"/>
        <v>9.4160999999999995E-2</v>
      </c>
      <c r="AG33" s="11" t="s">
        <v>45</v>
      </c>
    </row>
    <row r="34" spans="1:33" x14ac:dyDescent="0.2">
      <c r="A34" s="8">
        <v>7226</v>
      </c>
      <c r="B34" s="9" t="s">
        <v>147</v>
      </c>
      <c r="C34" s="10">
        <v>43420</v>
      </c>
      <c r="D34" s="11">
        <v>83</v>
      </c>
      <c r="E34" s="12" t="s">
        <v>34</v>
      </c>
      <c r="F34" s="12" t="s">
        <v>35</v>
      </c>
      <c r="G34" s="12" t="s">
        <v>36</v>
      </c>
      <c r="H34" s="12" t="s">
        <v>36</v>
      </c>
      <c r="I34" s="11" t="s">
        <v>151</v>
      </c>
      <c r="J34" s="12" t="s">
        <v>152</v>
      </c>
      <c r="K34" s="13" t="s">
        <v>49</v>
      </c>
      <c r="L34" s="11" t="str">
        <f>"000007"</f>
        <v>000007</v>
      </c>
      <c r="M34" s="10">
        <v>42462</v>
      </c>
      <c r="N34" s="11" t="str">
        <f>"000027"</f>
        <v>000027</v>
      </c>
      <c r="O34" s="10">
        <v>42884</v>
      </c>
      <c r="P34" s="11" t="str">
        <f>"000057"</f>
        <v>000057</v>
      </c>
      <c r="Q34" s="10">
        <v>42884</v>
      </c>
      <c r="R34" s="11">
        <v>16</v>
      </c>
      <c r="S34" s="11" t="str">
        <f>"007266"</f>
        <v>007266</v>
      </c>
      <c r="T34" s="10">
        <v>43407</v>
      </c>
      <c r="U34" s="14">
        <v>14.408860000000001</v>
      </c>
      <c r="V34" s="14">
        <v>1.8481799999999999</v>
      </c>
      <c r="W34" s="14">
        <v>12.56068</v>
      </c>
      <c r="X34" s="11">
        <v>266</v>
      </c>
      <c r="Y34" s="10">
        <v>43420</v>
      </c>
      <c r="Z34" s="11">
        <v>9886495939</v>
      </c>
      <c r="AA34" s="12" t="s">
        <v>150</v>
      </c>
      <c r="AB34" s="11" t="s">
        <v>41</v>
      </c>
      <c r="AC34" s="12" t="s">
        <v>42</v>
      </c>
      <c r="AD34" s="11" t="s">
        <v>43</v>
      </c>
      <c r="AE34" s="12" t="s">
        <v>44</v>
      </c>
      <c r="AF34" s="14">
        <f t="shared" si="0"/>
        <v>0.14408860000000001</v>
      </c>
      <c r="AG34" s="11" t="s">
        <v>45</v>
      </c>
    </row>
    <row r="35" spans="1:33" x14ac:dyDescent="0.2">
      <c r="A35" s="8">
        <v>7739</v>
      </c>
      <c r="B35" s="9" t="s">
        <v>153</v>
      </c>
      <c r="C35" s="10">
        <v>43448</v>
      </c>
      <c r="D35" s="11">
        <v>83</v>
      </c>
      <c r="E35" s="12" t="s">
        <v>34</v>
      </c>
      <c r="F35" s="12" t="s">
        <v>35</v>
      </c>
      <c r="G35" s="12" t="s">
        <v>36</v>
      </c>
      <c r="H35" s="12" t="s">
        <v>36</v>
      </c>
      <c r="I35" s="11" t="s">
        <v>154</v>
      </c>
      <c r="J35" s="12" t="s">
        <v>155</v>
      </c>
      <c r="K35" s="13" t="s">
        <v>62</v>
      </c>
      <c r="L35" s="11" t="str">
        <f>"00"</f>
        <v>00</v>
      </c>
      <c r="M35" s="10">
        <v>5</v>
      </c>
      <c r="N35" s="11" t="str">
        <f>"000034"</f>
        <v>000034</v>
      </c>
      <c r="O35" s="10">
        <v>42520</v>
      </c>
      <c r="P35" s="11" t="str">
        <f>"000083"</f>
        <v>000083</v>
      </c>
      <c r="Q35" s="10">
        <v>42521</v>
      </c>
      <c r="R35" s="11">
        <v>13</v>
      </c>
      <c r="S35" s="11" t="str">
        <f>"007841"</f>
        <v>007841</v>
      </c>
      <c r="T35" s="10">
        <v>43444</v>
      </c>
      <c r="U35" s="14">
        <v>4.7453099999999999</v>
      </c>
      <c r="V35" s="14">
        <v>0.62626999999999999</v>
      </c>
      <c r="W35" s="14">
        <v>4.11904</v>
      </c>
      <c r="X35" s="11">
        <v>291</v>
      </c>
      <c r="Y35" s="10">
        <v>43448</v>
      </c>
      <c r="Z35" s="11">
        <v>9886644111</v>
      </c>
      <c r="AA35" s="12" t="s">
        <v>156</v>
      </c>
      <c r="AB35" s="11" t="s">
        <v>58</v>
      </c>
      <c r="AC35" s="12" t="s">
        <v>59</v>
      </c>
      <c r="AD35" s="11" t="s">
        <v>43</v>
      </c>
      <c r="AE35" s="12" t="s">
        <v>44</v>
      </c>
      <c r="AF35" s="14">
        <f t="shared" si="0"/>
        <v>4.7453099999999998E-2</v>
      </c>
      <c r="AG35" s="11" t="s">
        <v>45</v>
      </c>
    </row>
    <row r="36" spans="1:33" x14ac:dyDescent="0.2">
      <c r="A36" s="8">
        <v>8019</v>
      </c>
      <c r="B36" s="9" t="s">
        <v>153</v>
      </c>
      <c r="C36" s="10">
        <v>43455</v>
      </c>
      <c r="D36" s="11">
        <v>83</v>
      </c>
      <c r="E36" s="12" t="s">
        <v>34</v>
      </c>
      <c r="F36" s="12" t="s">
        <v>35</v>
      </c>
      <c r="G36" s="12" t="s">
        <v>36</v>
      </c>
      <c r="H36" s="12" t="s">
        <v>36</v>
      </c>
      <c r="I36" s="11" t="s">
        <v>157</v>
      </c>
      <c r="J36" s="12" t="s">
        <v>158</v>
      </c>
      <c r="K36" s="13" t="s">
        <v>62</v>
      </c>
      <c r="L36" s="11" t="str">
        <f>"000"</f>
        <v>000</v>
      </c>
      <c r="M36" s="10">
        <v>6</v>
      </c>
      <c r="N36" s="11" t="str">
        <f>"000018"</f>
        <v>000018</v>
      </c>
      <c r="O36" s="10">
        <v>42828</v>
      </c>
      <c r="P36" s="11" t="str">
        <f>"000147"</f>
        <v>000147</v>
      </c>
      <c r="Q36" s="10">
        <v>42916</v>
      </c>
      <c r="R36" s="11">
        <v>13</v>
      </c>
      <c r="S36" s="11" t="str">
        <f>"008100"</f>
        <v>008100</v>
      </c>
      <c r="T36" s="10">
        <v>43454</v>
      </c>
      <c r="U36" s="14">
        <v>4.9820500000000001</v>
      </c>
      <c r="V36" s="14">
        <v>0.63795999999999997</v>
      </c>
      <c r="W36" s="14">
        <v>4.3440899999999996</v>
      </c>
      <c r="X36" s="11">
        <v>301</v>
      </c>
      <c r="Y36" s="10">
        <v>43455</v>
      </c>
      <c r="Z36" s="11">
        <v>9480044141</v>
      </c>
      <c r="AA36" s="12" t="s">
        <v>159</v>
      </c>
      <c r="AB36" s="11" t="s">
        <v>58</v>
      </c>
      <c r="AC36" s="12" t="s">
        <v>59</v>
      </c>
      <c r="AD36" s="11" t="s">
        <v>43</v>
      </c>
      <c r="AE36" s="12" t="s">
        <v>44</v>
      </c>
      <c r="AF36" s="14">
        <f t="shared" si="0"/>
        <v>4.9820500000000004E-2</v>
      </c>
      <c r="AG36" s="11" t="s">
        <v>45</v>
      </c>
    </row>
    <row r="37" spans="1:33" x14ac:dyDescent="0.2">
      <c r="A37" s="8">
        <v>8172</v>
      </c>
      <c r="B37" s="9" t="s">
        <v>160</v>
      </c>
      <c r="C37" s="10">
        <v>43466</v>
      </c>
      <c r="D37" s="11">
        <v>83</v>
      </c>
      <c r="E37" s="12" t="s">
        <v>34</v>
      </c>
      <c r="F37" s="12" t="s">
        <v>35</v>
      </c>
      <c r="G37" s="12" t="s">
        <v>36</v>
      </c>
      <c r="H37" s="12" t="s">
        <v>36</v>
      </c>
      <c r="I37" s="11" t="s">
        <v>90</v>
      </c>
      <c r="J37" s="12" t="s">
        <v>91</v>
      </c>
      <c r="K37" s="13" t="s">
        <v>49</v>
      </c>
      <c r="L37" s="11" t="str">
        <f>"000092"</f>
        <v>000092</v>
      </c>
      <c r="M37" s="10">
        <v>43039</v>
      </c>
      <c r="N37" s="11" t="str">
        <f>"000068"</f>
        <v>000068</v>
      </c>
      <c r="O37" s="10">
        <v>43403</v>
      </c>
      <c r="P37" s="11" t="str">
        <f>"000172"</f>
        <v>000172</v>
      </c>
      <c r="Q37" s="10">
        <v>43403</v>
      </c>
      <c r="R37" s="11"/>
      <c r="S37" s="11" t="str">
        <f>"008320"</f>
        <v>008320</v>
      </c>
      <c r="T37" s="10">
        <v>43462</v>
      </c>
      <c r="U37" s="14">
        <v>16.72296</v>
      </c>
      <c r="V37" s="14">
        <v>0.98580999999999996</v>
      </c>
      <c r="W37" s="14">
        <v>15.73715</v>
      </c>
      <c r="X37" s="11">
        <v>308</v>
      </c>
      <c r="Y37" s="10">
        <v>43466</v>
      </c>
      <c r="Z37" s="11">
        <v>9980728302</v>
      </c>
      <c r="AA37" s="12" t="s">
        <v>57</v>
      </c>
      <c r="AB37" s="11" t="s">
        <v>92</v>
      </c>
      <c r="AC37" s="12" t="s">
        <v>93</v>
      </c>
      <c r="AD37" s="11" t="s">
        <v>43</v>
      </c>
      <c r="AE37" s="12" t="s">
        <v>44</v>
      </c>
      <c r="AF37" s="14">
        <f t="shared" si="0"/>
        <v>0.16722960000000001</v>
      </c>
      <c r="AG37" s="11" t="s">
        <v>53</v>
      </c>
    </row>
    <row r="38" spans="1:33" x14ac:dyDescent="0.2">
      <c r="A38" s="8">
        <v>8338</v>
      </c>
      <c r="B38" s="9" t="s">
        <v>160</v>
      </c>
      <c r="C38" s="10">
        <v>43467</v>
      </c>
      <c r="D38" s="11">
        <v>83</v>
      </c>
      <c r="E38" s="12" t="s">
        <v>34</v>
      </c>
      <c r="F38" s="12" t="s">
        <v>35</v>
      </c>
      <c r="G38" s="12" t="s">
        <v>36</v>
      </c>
      <c r="H38" s="12" t="s">
        <v>36</v>
      </c>
      <c r="I38" s="11" t="s">
        <v>161</v>
      </c>
      <c r="J38" s="12" t="s">
        <v>162</v>
      </c>
      <c r="K38" s="13" t="s">
        <v>163</v>
      </c>
      <c r="L38" s="11" t="str">
        <f>"000066"</f>
        <v>000066</v>
      </c>
      <c r="M38" s="10">
        <v>43316</v>
      </c>
      <c r="N38" s="11" t="str">
        <f>"000049"</f>
        <v>000049</v>
      </c>
      <c r="O38" s="10">
        <v>43316</v>
      </c>
      <c r="P38" s="11" t="str">
        <f>"000117"</f>
        <v>000117</v>
      </c>
      <c r="Q38" s="10">
        <v>43316</v>
      </c>
      <c r="R38" s="11"/>
      <c r="S38" s="11" t="str">
        <f>"007882"</f>
        <v>007882</v>
      </c>
      <c r="T38" s="10">
        <v>43445</v>
      </c>
      <c r="U38" s="14">
        <v>7.4865599999999999</v>
      </c>
      <c r="V38" s="14">
        <v>0.72204000000000002</v>
      </c>
      <c r="W38" s="14">
        <v>6.7645200000000001</v>
      </c>
      <c r="X38" s="11">
        <v>311</v>
      </c>
      <c r="Y38" s="10">
        <v>43467</v>
      </c>
      <c r="Z38" s="11">
        <v>9480828222</v>
      </c>
      <c r="AA38" s="12" t="s">
        <v>164</v>
      </c>
      <c r="AB38" s="11" t="s">
        <v>92</v>
      </c>
      <c r="AC38" s="12" t="s">
        <v>93</v>
      </c>
      <c r="AD38" s="11" t="s">
        <v>43</v>
      </c>
      <c r="AE38" s="12" t="s">
        <v>44</v>
      </c>
      <c r="AF38" s="14">
        <f t="shared" si="0"/>
        <v>7.4865600000000004E-2</v>
      </c>
      <c r="AG38" s="11" t="s">
        <v>165</v>
      </c>
    </row>
    <row r="39" spans="1:33" x14ac:dyDescent="0.2">
      <c r="A39" s="8">
        <v>8729</v>
      </c>
      <c r="B39" s="9" t="s">
        <v>160</v>
      </c>
      <c r="C39" s="10">
        <v>43486</v>
      </c>
      <c r="D39" s="11">
        <v>83</v>
      </c>
      <c r="E39" s="12" t="s">
        <v>34</v>
      </c>
      <c r="F39" s="12" t="s">
        <v>35</v>
      </c>
      <c r="G39" s="12" t="s">
        <v>36</v>
      </c>
      <c r="H39" s="12" t="s">
        <v>36</v>
      </c>
      <c r="I39" s="11" t="s">
        <v>166</v>
      </c>
      <c r="J39" s="12" t="s">
        <v>167</v>
      </c>
      <c r="K39" s="13" t="s">
        <v>49</v>
      </c>
      <c r="L39" s="11" t="str">
        <f>"000160"</f>
        <v>000160</v>
      </c>
      <c r="M39" s="10">
        <v>42903</v>
      </c>
      <c r="N39" s="11" t="str">
        <f>"000096"</f>
        <v>000096</v>
      </c>
      <c r="O39" s="10">
        <v>43463</v>
      </c>
      <c r="P39" s="11" t="str">
        <f>"000224"</f>
        <v>000224</v>
      </c>
      <c r="Q39" s="10">
        <v>43463</v>
      </c>
      <c r="R39" s="11"/>
      <c r="S39" s="11" t="str">
        <f>"008852"</f>
        <v>008852</v>
      </c>
      <c r="T39" s="10">
        <v>43484</v>
      </c>
      <c r="U39" s="14">
        <v>19.977139999999999</v>
      </c>
      <c r="V39" s="14">
        <v>2.3848199999999999</v>
      </c>
      <c r="W39" s="14">
        <v>17.592320000000001</v>
      </c>
      <c r="X39" s="11">
        <v>331</v>
      </c>
      <c r="Y39" s="10">
        <v>43486</v>
      </c>
      <c r="Z39" s="11">
        <v>9480828222</v>
      </c>
      <c r="AA39" s="12" t="s">
        <v>50</v>
      </c>
      <c r="AB39" s="11" t="s">
        <v>51</v>
      </c>
      <c r="AC39" s="12" t="s">
        <v>52</v>
      </c>
      <c r="AD39" s="11" t="s">
        <v>43</v>
      </c>
      <c r="AE39" s="12" t="s">
        <v>44</v>
      </c>
      <c r="AF39" s="14">
        <f t="shared" si="0"/>
        <v>0.19977139999999999</v>
      </c>
      <c r="AG39" s="11" t="s">
        <v>53</v>
      </c>
    </row>
    <row r="40" spans="1:33" x14ac:dyDescent="0.2">
      <c r="A40" s="8">
        <v>8947</v>
      </c>
      <c r="B40" s="9" t="s">
        <v>168</v>
      </c>
      <c r="C40" s="10">
        <v>43500</v>
      </c>
      <c r="D40" s="11">
        <v>83</v>
      </c>
      <c r="E40" s="12" t="s">
        <v>34</v>
      </c>
      <c r="F40" s="12" t="s">
        <v>35</v>
      </c>
      <c r="G40" s="12" t="s">
        <v>36</v>
      </c>
      <c r="H40" s="12" t="s">
        <v>36</v>
      </c>
      <c r="I40" s="11" t="s">
        <v>169</v>
      </c>
      <c r="J40" s="12" t="s">
        <v>170</v>
      </c>
      <c r="K40" s="13" t="s">
        <v>163</v>
      </c>
      <c r="L40" s="11" t="str">
        <f>"000054"</f>
        <v>000054</v>
      </c>
      <c r="M40" s="10">
        <v>43451</v>
      </c>
      <c r="N40" s="11" t="str">
        <f>"000110"</f>
        <v>000110</v>
      </c>
      <c r="O40" s="10">
        <v>43451</v>
      </c>
      <c r="P40" s="11" t="str">
        <f>"000111"</f>
        <v>000111</v>
      </c>
      <c r="Q40" s="10">
        <v>43451</v>
      </c>
      <c r="R40" s="11"/>
      <c r="S40" s="11" t="str">
        <f>"008746"</f>
        <v>008746</v>
      </c>
      <c r="T40" s="10">
        <v>43482</v>
      </c>
      <c r="U40" s="14">
        <v>0.88275999999999999</v>
      </c>
      <c r="V40" s="14">
        <v>8.9429999999999996E-2</v>
      </c>
      <c r="W40" s="14">
        <v>0.79332999999999998</v>
      </c>
      <c r="X40" s="11">
        <v>338</v>
      </c>
      <c r="Y40" s="10">
        <v>43500</v>
      </c>
      <c r="Z40" s="11">
        <v>9342541594</v>
      </c>
      <c r="AA40" s="12" t="s">
        <v>50</v>
      </c>
      <c r="AB40" s="11" t="s">
        <v>92</v>
      </c>
      <c r="AC40" s="12" t="s">
        <v>93</v>
      </c>
      <c r="AD40" s="11" t="s">
        <v>110</v>
      </c>
      <c r="AE40" s="12" t="s">
        <v>111</v>
      </c>
      <c r="AF40" s="14">
        <f t="shared" si="0"/>
        <v>8.8275999999999997E-3</v>
      </c>
      <c r="AG40" s="11" t="s">
        <v>165</v>
      </c>
    </row>
    <row r="41" spans="1:33" x14ac:dyDescent="0.2">
      <c r="A41" s="8">
        <v>8953</v>
      </c>
      <c r="B41" s="9" t="s">
        <v>168</v>
      </c>
      <c r="C41" s="10">
        <v>43500</v>
      </c>
      <c r="D41" s="11">
        <v>83</v>
      </c>
      <c r="E41" s="12" t="s">
        <v>34</v>
      </c>
      <c r="F41" s="12" t="s">
        <v>35</v>
      </c>
      <c r="G41" s="12" t="s">
        <v>36</v>
      </c>
      <c r="H41" s="12" t="s">
        <v>36</v>
      </c>
      <c r="I41" s="11" t="s">
        <v>171</v>
      </c>
      <c r="J41" s="12" t="s">
        <v>172</v>
      </c>
      <c r="K41" s="13" t="s">
        <v>163</v>
      </c>
      <c r="L41" s="11" t="str">
        <f>"000052"</f>
        <v>000052</v>
      </c>
      <c r="M41" s="10">
        <v>43449</v>
      </c>
      <c r="N41" s="11" t="str">
        <f>"000108"</f>
        <v>000108</v>
      </c>
      <c r="O41" s="10">
        <v>43449</v>
      </c>
      <c r="P41" s="11" t="str">
        <f>"000109"</f>
        <v>000109</v>
      </c>
      <c r="Q41" s="10">
        <v>43449</v>
      </c>
      <c r="R41" s="11"/>
      <c r="S41" s="11" t="str">
        <f>"008752"</f>
        <v>008752</v>
      </c>
      <c r="T41" s="10">
        <v>43482</v>
      </c>
      <c r="U41" s="14">
        <v>0.86251999999999995</v>
      </c>
      <c r="V41" s="14">
        <v>8.7389999999999995E-2</v>
      </c>
      <c r="W41" s="14">
        <v>0.77512999999999999</v>
      </c>
      <c r="X41" s="11">
        <v>338</v>
      </c>
      <c r="Y41" s="10">
        <v>43500</v>
      </c>
      <c r="Z41" s="11">
        <v>9342541594</v>
      </c>
      <c r="AA41" s="12" t="s">
        <v>50</v>
      </c>
      <c r="AB41" s="11" t="s">
        <v>92</v>
      </c>
      <c r="AC41" s="12" t="s">
        <v>93</v>
      </c>
      <c r="AD41" s="11" t="s">
        <v>110</v>
      </c>
      <c r="AE41" s="12" t="s">
        <v>111</v>
      </c>
      <c r="AF41" s="14">
        <f t="shared" si="0"/>
        <v>8.6251999999999995E-3</v>
      </c>
      <c r="AG41" s="11" t="s">
        <v>165</v>
      </c>
    </row>
    <row r="42" spans="1:33" x14ac:dyDescent="0.2">
      <c r="A42" s="8">
        <v>8995</v>
      </c>
      <c r="B42" s="9" t="s">
        <v>168</v>
      </c>
      <c r="C42" s="10">
        <v>43503</v>
      </c>
      <c r="D42" s="11">
        <v>83</v>
      </c>
      <c r="E42" s="12" t="s">
        <v>34</v>
      </c>
      <c r="F42" s="12" t="s">
        <v>35</v>
      </c>
      <c r="G42" s="12" t="s">
        <v>36</v>
      </c>
      <c r="H42" s="12" t="s">
        <v>36</v>
      </c>
      <c r="I42" s="11" t="s">
        <v>173</v>
      </c>
      <c r="J42" s="12" t="s">
        <v>174</v>
      </c>
      <c r="K42" s="13" t="s">
        <v>39</v>
      </c>
      <c r="L42" s="11" t="str">
        <f>"000003"</f>
        <v>000003</v>
      </c>
      <c r="M42" s="10">
        <v>42200</v>
      </c>
      <c r="N42" s="11" t="str">
        <f>"000028"</f>
        <v>000028</v>
      </c>
      <c r="O42" s="10">
        <v>43439</v>
      </c>
      <c r="P42" s="11" t="str">
        <f>"000029"</f>
        <v>000029</v>
      </c>
      <c r="Q42" s="10">
        <v>43439</v>
      </c>
      <c r="R42" s="11"/>
      <c r="S42" s="11" t="str">
        <f>"009035"</f>
        <v>009035</v>
      </c>
      <c r="T42" s="10">
        <v>43495</v>
      </c>
      <c r="U42" s="14">
        <v>28.771699999999999</v>
      </c>
      <c r="V42" s="14">
        <v>2.7904800000000001</v>
      </c>
      <c r="W42" s="14">
        <v>25.98122</v>
      </c>
      <c r="X42" s="11">
        <v>343</v>
      </c>
      <c r="Y42" s="10">
        <v>43503</v>
      </c>
      <c r="Z42" s="11">
        <v>9986668007</v>
      </c>
      <c r="AA42" s="12" t="s">
        <v>175</v>
      </c>
      <c r="AB42" s="11" t="s">
        <v>176</v>
      </c>
      <c r="AC42" s="12" t="s">
        <v>177</v>
      </c>
      <c r="AD42" s="11" t="s">
        <v>178</v>
      </c>
      <c r="AE42" s="12" t="s">
        <v>179</v>
      </c>
      <c r="AF42" s="14">
        <f t="shared" si="0"/>
        <v>0.287717</v>
      </c>
      <c r="AG42" s="11" t="s">
        <v>53</v>
      </c>
    </row>
    <row r="43" spans="1:33" x14ac:dyDescent="0.2">
      <c r="A43" s="8">
        <v>9832</v>
      </c>
      <c r="B43" s="9" t="s">
        <v>180</v>
      </c>
      <c r="C43" s="10">
        <v>43546</v>
      </c>
      <c r="D43" s="11">
        <v>83</v>
      </c>
      <c r="E43" s="12" t="s">
        <v>34</v>
      </c>
      <c r="F43" s="12" t="s">
        <v>35</v>
      </c>
      <c r="G43" s="12" t="s">
        <v>36</v>
      </c>
      <c r="H43" s="12" t="s">
        <v>36</v>
      </c>
      <c r="I43" s="11" t="s">
        <v>181</v>
      </c>
      <c r="J43" s="12" t="s">
        <v>182</v>
      </c>
      <c r="K43" s="13" t="s">
        <v>62</v>
      </c>
      <c r="L43" s="11" t="str">
        <f>"000031"</f>
        <v>000031</v>
      </c>
      <c r="M43" s="10">
        <v>42976</v>
      </c>
      <c r="N43" s="11" t="str">
        <f>"000065"</f>
        <v>000065</v>
      </c>
      <c r="O43" s="10">
        <v>43384</v>
      </c>
      <c r="P43" s="11" t="str">
        <f>"000164"</f>
        <v>000164</v>
      </c>
      <c r="Q43" s="10">
        <v>43384</v>
      </c>
      <c r="R43" s="11"/>
      <c r="S43" s="11" t="str">
        <f>"009846"</f>
        <v>009846</v>
      </c>
      <c r="T43" s="10">
        <v>43544</v>
      </c>
      <c r="U43" s="14">
        <v>3.57009</v>
      </c>
      <c r="V43" s="14">
        <v>0.33201000000000003</v>
      </c>
      <c r="W43" s="14">
        <v>3.2380800000000001</v>
      </c>
      <c r="X43" s="11">
        <v>382</v>
      </c>
      <c r="Y43" s="10">
        <v>43546</v>
      </c>
      <c r="Z43" s="11">
        <v>8951120986</v>
      </c>
      <c r="AA43" s="12" t="s">
        <v>183</v>
      </c>
      <c r="AB43" s="11" t="s">
        <v>184</v>
      </c>
      <c r="AC43" s="12" t="s">
        <v>185</v>
      </c>
      <c r="AD43" s="11" t="s">
        <v>43</v>
      </c>
      <c r="AE43" s="12" t="s">
        <v>44</v>
      </c>
      <c r="AF43" s="14">
        <f t="shared" si="0"/>
        <v>3.5700900000000001E-2</v>
      </c>
      <c r="AG43" s="11" t="s">
        <v>53</v>
      </c>
    </row>
    <row r="44" spans="1:33" x14ac:dyDescent="0.2">
      <c r="A44" s="8">
        <v>9833</v>
      </c>
      <c r="B44" s="9" t="s">
        <v>180</v>
      </c>
      <c r="C44" s="10">
        <v>43546</v>
      </c>
      <c r="D44" s="11">
        <v>83</v>
      </c>
      <c r="E44" s="12" t="s">
        <v>34</v>
      </c>
      <c r="F44" s="12" t="s">
        <v>35</v>
      </c>
      <c r="G44" s="12" t="s">
        <v>36</v>
      </c>
      <c r="H44" s="12" t="s">
        <v>36</v>
      </c>
      <c r="I44" s="11" t="s">
        <v>181</v>
      </c>
      <c r="J44" s="12" t="s">
        <v>182</v>
      </c>
      <c r="K44" s="13" t="s">
        <v>62</v>
      </c>
      <c r="L44" s="11" t="str">
        <f>"000031"</f>
        <v>000031</v>
      </c>
      <c r="M44" s="10">
        <v>42976</v>
      </c>
      <c r="N44" s="11" t="str">
        <f>"000065"</f>
        <v>000065</v>
      </c>
      <c r="O44" s="10">
        <v>43384</v>
      </c>
      <c r="P44" s="11" t="str">
        <f>"000164"</f>
        <v>000164</v>
      </c>
      <c r="Q44" s="10">
        <v>43384</v>
      </c>
      <c r="R44" s="11"/>
      <c r="S44" s="11" t="str">
        <f>"009846"</f>
        <v>009846</v>
      </c>
      <c r="T44" s="10">
        <v>43544</v>
      </c>
      <c r="U44" s="14">
        <v>7.2316799999999999</v>
      </c>
      <c r="V44" s="14">
        <v>0.67252000000000001</v>
      </c>
      <c r="W44" s="14">
        <v>6.5591600000000003</v>
      </c>
      <c r="X44" s="11">
        <v>382</v>
      </c>
      <c r="Y44" s="10">
        <v>43546</v>
      </c>
      <c r="Z44" s="11">
        <v>8951120986</v>
      </c>
      <c r="AA44" s="12" t="s">
        <v>183</v>
      </c>
      <c r="AB44" s="11" t="s">
        <v>184</v>
      </c>
      <c r="AC44" s="12" t="s">
        <v>185</v>
      </c>
      <c r="AD44" s="11" t="s">
        <v>43</v>
      </c>
      <c r="AE44" s="12" t="s">
        <v>44</v>
      </c>
      <c r="AF44" s="14">
        <f t="shared" si="0"/>
        <v>7.2316800000000001E-2</v>
      </c>
      <c r="AG44" s="11" t="s">
        <v>53</v>
      </c>
    </row>
    <row r="45" spans="1:33" x14ac:dyDescent="0.2">
      <c r="A45" s="8">
        <v>9995</v>
      </c>
      <c r="B45" s="9" t="s">
        <v>180</v>
      </c>
      <c r="C45" s="10">
        <v>43552</v>
      </c>
      <c r="D45" s="11">
        <v>83</v>
      </c>
      <c r="E45" s="12" t="s">
        <v>34</v>
      </c>
      <c r="F45" s="12" t="s">
        <v>35</v>
      </c>
      <c r="G45" s="12" t="s">
        <v>36</v>
      </c>
      <c r="H45" s="12" t="s">
        <v>36</v>
      </c>
      <c r="I45" s="11" t="s">
        <v>186</v>
      </c>
      <c r="J45" s="12" t="s">
        <v>187</v>
      </c>
      <c r="K45" s="13" t="s">
        <v>62</v>
      </c>
      <c r="L45" s="11" t="str">
        <f>"000224"</f>
        <v>000224</v>
      </c>
      <c r="M45" s="10">
        <v>42800</v>
      </c>
      <c r="N45" s="11" t="str">
        <f>"000063"</f>
        <v>000063</v>
      </c>
      <c r="O45" s="10">
        <v>42908</v>
      </c>
      <c r="P45" s="11" t="str">
        <f>"000144"</f>
        <v>000144</v>
      </c>
      <c r="Q45" s="10">
        <v>42916</v>
      </c>
      <c r="R45" s="11"/>
      <c r="S45" s="11" t="str">
        <f>"010057"</f>
        <v>010057</v>
      </c>
      <c r="T45" s="10">
        <v>43552</v>
      </c>
      <c r="U45" s="14">
        <v>3.5782699999999998</v>
      </c>
      <c r="V45" s="14">
        <v>0.45433000000000001</v>
      </c>
      <c r="W45" s="14">
        <v>3.1239400000000002</v>
      </c>
      <c r="X45" s="11">
        <v>390</v>
      </c>
      <c r="Y45" s="10">
        <v>43552</v>
      </c>
      <c r="Z45" s="11">
        <v>9164591459</v>
      </c>
      <c r="AA45" s="12" t="s">
        <v>188</v>
      </c>
      <c r="AB45" s="11" t="s">
        <v>189</v>
      </c>
      <c r="AC45" s="12" t="s">
        <v>190</v>
      </c>
      <c r="AD45" s="11" t="s">
        <v>43</v>
      </c>
      <c r="AE45" s="12" t="s">
        <v>44</v>
      </c>
      <c r="AF45" s="14">
        <f t="shared" si="0"/>
        <v>3.5782700000000001E-2</v>
      </c>
      <c r="AG45" s="11" t="s">
        <v>45</v>
      </c>
    </row>
    <row r="46" spans="1:33" x14ac:dyDescent="0.2">
      <c r="A46" s="8">
        <v>10037</v>
      </c>
      <c r="B46" s="9" t="s">
        <v>180</v>
      </c>
      <c r="C46" s="10">
        <v>43552</v>
      </c>
      <c r="D46" s="11">
        <v>83</v>
      </c>
      <c r="E46" s="12" t="s">
        <v>34</v>
      </c>
      <c r="F46" s="12" t="s">
        <v>35</v>
      </c>
      <c r="G46" s="12" t="s">
        <v>36</v>
      </c>
      <c r="H46" s="12" t="s">
        <v>36</v>
      </c>
      <c r="I46" s="11" t="s">
        <v>191</v>
      </c>
      <c r="J46" s="12" t="s">
        <v>192</v>
      </c>
      <c r="K46" s="13" t="s">
        <v>49</v>
      </c>
      <c r="L46" s="11" t="str">
        <f>"000123"</f>
        <v>000123</v>
      </c>
      <c r="M46" s="10">
        <v>42886</v>
      </c>
      <c r="N46" s="11" t="str">
        <f>"000086"</f>
        <v>000086</v>
      </c>
      <c r="O46" s="10">
        <v>42908</v>
      </c>
      <c r="P46" s="11" t="str">
        <f>"000182"</f>
        <v>000182</v>
      </c>
      <c r="Q46" s="10">
        <v>42916</v>
      </c>
      <c r="R46" s="11"/>
      <c r="S46" s="11" t="str">
        <f>"010099"</f>
        <v>010099</v>
      </c>
      <c r="T46" s="10">
        <v>43552</v>
      </c>
      <c r="U46" s="14">
        <v>14.81174</v>
      </c>
      <c r="V46" s="14">
        <v>1.89371</v>
      </c>
      <c r="W46" s="14">
        <v>12.91803</v>
      </c>
      <c r="X46" s="11">
        <v>390</v>
      </c>
      <c r="Y46" s="10">
        <v>43552</v>
      </c>
      <c r="Z46" s="11">
        <v>7892152055</v>
      </c>
      <c r="AA46" s="12" t="s">
        <v>193</v>
      </c>
      <c r="AB46" s="11" t="s">
        <v>58</v>
      </c>
      <c r="AC46" s="12" t="s">
        <v>59</v>
      </c>
      <c r="AD46" s="11" t="s">
        <v>43</v>
      </c>
      <c r="AE46" s="12" t="s">
        <v>44</v>
      </c>
      <c r="AF46" s="14">
        <f t="shared" si="0"/>
        <v>0.14811740000000001</v>
      </c>
      <c r="AG46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2019-06-13T07:51:11Z</dcterms:modified>
</cp:coreProperties>
</file>