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4" i="1" l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<sst xmlns="http://schemas.openxmlformats.org/spreadsheetml/2006/main" count="635" uniqueCount="181">
  <si>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</si>
  <si>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</si>
  <si>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</si>
  <si>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</si>
  <si>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</si>
  <si>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</si>
  <si>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</si>
  <si>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</si>
  <si>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</si>
  <si>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</si>
  <si>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</si>
  <si>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</si>
  <si>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</si>
  <si>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</si>
  <si>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</si>
  <si>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</si>
  <si>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</si>
  <si>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</si>
  <si>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</si>
  <si>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</si>
  <si>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</si>
  <si>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</si>
  <si>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</si>
  <si>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</si>
  <si>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</si>
  <si>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</si>
  <si>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</si>
  <si>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</si>
  <si>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</si>
  <si>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</si>
  <si>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</si>
  <si>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</si>
  <si>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</si>
  <si>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</si>
  <si>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Subhash Nagara</t>
  </si>
  <si>
    <t>Gandhi Nagara</t>
  </si>
  <si>
    <t>West</t>
  </si>
  <si>
    <t>095-17-000011</t>
  </si>
  <si>
    <t>Providing B S Slab paving lane at 1st Main Road Swathanthra Palya in ward no 95</t>
  </si>
  <si>
    <t>Footpaths &amp; Walkability</t>
  </si>
  <si>
    <t>Technical Manager KRIDL West</t>
  </si>
  <si>
    <t>P3111</t>
  </si>
  <si>
    <t>State Finance Commission Untied Grant Works</t>
  </si>
  <si>
    <t>ddo202</t>
  </si>
  <si>
    <t xml:space="preserve"> Assistant Executive Engineer Gandinagar West Zone</t>
  </si>
  <si>
    <t>Pending</t>
  </si>
  <si>
    <t>095-17-000012</t>
  </si>
  <si>
    <t>Providing B S Slab paving lane at Neelgiri papanna Block in ward no 95</t>
  </si>
  <si>
    <t>095-13-000001</t>
  </si>
  <si>
    <t>Construction of Samudaya Bhavan at Jakkarayanakere in W-95</t>
  </si>
  <si>
    <t>Other Ward Works</t>
  </si>
  <si>
    <t>M/S Geethika Constructions, Sri.P.Nagaraj Propriteor</t>
  </si>
  <si>
    <t>P1771</t>
  </si>
  <si>
    <t>Zone Works - POW Works</t>
  </si>
  <si>
    <t>ddo197</t>
  </si>
  <si>
    <t xml:space="preserve"> Executive Engineer Project West Zone</t>
  </si>
  <si>
    <t>095-16-000027</t>
  </si>
  <si>
    <t>Special repairs to toilet and up-gradation at Narayanarao colony in ward no 95</t>
  </si>
  <si>
    <t>Health &amp; Sanitation</t>
  </si>
  <si>
    <t>P0488</t>
  </si>
  <si>
    <t>Construction and Improvements to (Existing, Shifting and Upgradatio - Urinals Toilets,  Dhobighats)</t>
  </si>
  <si>
    <t>095-16-000025</t>
  </si>
  <si>
    <t>Special repairs to toilet and up-gradation at Swathanthrapalya in ward no 95</t>
  </si>
  <si>
    <t>095-16-000026</t>
  </si>
  <si>
    <t>Special repairs to toilet and up-gradation at Neeligiri Papanna Block in ward no 95</t>
  </si>
  <si>
    <t>095-18-000031</t>
  </si>
  <si>
    <t>Desilting Secondary and teritory drains Shashtrinagara and surrounding Shahstrinagara in ward no-95</t>
  </si>
  <si>
    <t>P1878</t>
  </si>
  <si>
    <t>18per - Works (Bhagyajyothi, Sooru / Neeru Yojane and General) (54 Lakhs / New Wards)</t>
  </si>
  <si>
    <t>May</t>
  </si>
  <si>
    <t>095-15-000011</t>
  </si>
  <si>
    <t xml:space="preserve">Impts to Toilet at Nelagiri Papanna Block In Ward-95 </t>
  </si>
  <si>
    <t>L Mahadeva</t>
  </si>
  <si>
    <t>June</t>
  </si>
  <si>
    <t>095-14-000006</t>
  </si>
  <si>
    <t>Maintenance of BBMP buildings in ward no 95</t>
  </si>
  <si>
    <t>095-15-000027</t>
  </si>
  <si>
    <t xml:space="preserve">Providing RCC Drain from Anjeneya temple road to Ganesha temple road in ward no 95 </t>
  </si>
  <si>
    <t xml:space="preserve">EE-2 KRIDL(WEST) </t>
  </si>
  <si>
    <t>P1732</t>
  </si>
  <si>
    <t>Road network arterial roads (Project Division and Major Road Division)</t>
  </si>
  <si>
    <t>095-17-000024</t>
  </si>
  <si>
    <t>Emegency Grants In Ward-95</t>
  </si>
  <si>
    <t xml:space="preserve">M Shiva Kumar </t>
  </si>
  <si>
    <t>July</t>
  </si>
  <si>
    <t>095-17-000001</t>
  </si>
  <si>
    <t>Improvements to culverts and drains at Arrack shop road in ward no 95 Subash Nagar</t>
  </si>
  <si>
    <t>P0190</t>
  </si>
  <si>
    <t>Works sanctioned by Hon Mayor</t>
  </si>
  <si>
    <t>095-17-000003</t>
  </si>
  <si>
    <t>Construction of compound wall by the SWD in Hanumanthappa colony in ward no 95</t>
  </si>
  <si>
    <t>Storm Water Drains</t>
  </si>
  <si>
    <t>095-14-000003</t>
  </si>
  <si>
    <t>Construction of Bangalore one and Revenue office and Library in ward no 95</t>
  </si>
  <si>
    <t>VEKATAKRISHNA</t>
  </si>
  <si>
    <t>ddo326</t>
  </si>
  <si>
    <t xml:space="preserve"> Executive Engineer SWM 1 Central Zone</t>
  </si>
  <si>
    <t>095-16-000009</t>
  </si>
  <si>
    <t>Supply of tractor and labourto remove the silt in Ward No-95</t>
  </si>
  <si>
    <t>Venkatadri K</t>
  </si>
  <si>
    <t>095-16-000024</t>
  </si>
  <si>
    <t>Providing SSM compound wall to BBMP property at Magadi main road in ward no 95</t>
  </si>
  <si>
    <t>P0607</t>
  </si>
  <si>
    <t>Fencing of BBMP Properties (Other than gardens, parks)</t>
  </si>
  <si>
    <t>095-14-000022</t>
  </si>
  <si>
    <t>Providing RCC Drain and CC Road at 1st cross M D Block ward noi 95</t>
  </si>
  <si>
    <t>095-16-000022</t>
  </si>
  <si>
    <t>Providing chain link fencing to BBMP property in front of swathi Hotel Platform road in ward no 95</t>
  </si>
  <si>
    <t>095-16-000023</t>
  </si>
  <si>
    <t>Providing chain link fencing to railway Parallel road M D block in ward no 95</t>
  </si>
  <si>
    <t>August</t>
  </si>
  <si>
    <t>095-17-000004</t>
  </si>
  <si>
    <t>Improvements to drain at Bapuji block in ward no 95</t>
  </si>
  <si>
    <t>October</t>
  </si>
  <si>
    <t>095-18-000036</t>
  </si>
  <si>
    <t>Providing street light and maintenance in ward no 95</t>
  </si>
  <si>
    <t>Executive Engineer 1 KRIDL</t>
  </si>
  <si>
    <t>P3290</t>
  </si>
  <si>
    <t>14th Finance Commission Works - Providing Street Lights and Maintenance</t>
  </si>
  <si>
    <t>ddo209</t>
  </si>
  <si>
    <t xml:space="preserve"> Assistant Executive Engineer Electrical West Zone</t>
  </si>
  <si>
    <t>Current</t>
  </si>
  <si>
    <t>095-15-000043</t>
  </si>
  <si>
    <t>Improvements to footpath and kerb stones in Ward No.95.</t>
  </si>
  <si>
    <t>Executive Engineer, KRIDL</t>
  </si>
  <si>
    <t>Spill Over</t>
  </si>
  <si>
    <t>095-15-000045</t>
  </si>
  <si>
    <t>Providing ornamental grill to balance portions in Ward No.95.</t>
  </si>
  <si>
    <t>095-18-000070</t>
  </si>
  <si>
    <t xml:space="preserve">Providing Cement Concrete Road to Railway Under Bridge infront of Anjaneya Temple in Ward No 95 </t>
  </si>
  <si>
    <t>Roads &amp; Drivablility</t>
  </si>
  <si>
    <t>Technical Manager  (West) Karnataka Rural Infrastructure Development Limited</t>
  </si>
  <si>
    <t>P3158</t>
  </si>
  <si>
    <t>SIP Infrastructure Project works</t>
  </si>
  <si>
    <t xml:space="preserve"> Assistant Executive Engineer Gandhinagar West Zone</t>
  </si>
  <si>
    <t>095-16-000021</t>
  </si>
  <si>
    <t>Construction of Samudaya Bhavan and Gymnasium building at Swatantra Palya in ward.95</t>
  </si>
  <si>
    <t>Public Amenities</t>
  </si>
  <si>
    <t>095-18-000009</t>
  </si>
  <si>
    <t>Providing Borewell and water supply at MD block and surrounding area in ward no 95.</t>
  </si>
  <si>
    <t>Water &amp; Sanitary</t>
  </si>
  <si>
    <t>P3333</t>
  </si>
  <si>
    <t>Special Development works at Ward No.07,08,21,33,58,66,68,75,76,91,94,95,110,116,153,180,190,198,88,18 ( 20 wards Rs.5.00 Cr. Each)</t>
  </si>
  <si>
    <t>December</t>
  </si>
  <si>
    <t>095-15-000042</t>
  </si>
  <si>
    <t>Providing Gym equipments for all slums in Ward No.95.</t>
  </si>
  <si>
    <t>Trees, Parks &amp; Playgrounds</t>
  </si>
  <si>
    <t>095-14-000012</t>
  </si>
  <si>
    <t>Specal repairs to Anganawadi building at Swathantranaagra in ward no 95</t>
  </si>
  <si>
    <t>095-17-000021</t>
  </si>
  <si>
    <t>Providing Cement Concrete Road at Avalamma Choultry Area In Ward-95</t>
  </si>
  <si>
    <t>Aishwarya Infrastrucure and Developers</t>
  </si>
  <si>
    <t>095-17-000014</t>
  </si>
  <si>
    <t>Construction of Culverts In Ward-95</t>
  </si>
  <si>
    <t>January</t>
  </si>
  <si>
    <t>095-18-000039</t>
  </si>
  <si>
    <t>Storm water drain works in ward no 95</t>
  </si>
  <si>
    <t>P3297</t>
  </si>
  <si>
    <t>14th Finance Commission Grants - SWD Works</t>
  </si>
  <si>
    <t>February</t>
  </si>
  <si>
    <t>095-18-000008</t>
  </si>
  <si>
    <t>Providing Borewell and water supply at Ambedkar Slum and surrounding area in ward no 95.</t>
  </si>
  <si>
    <t>095-18-000004</t>
  </si>
  <si>
    <t>Providing Borewell and water supply at Swathantra Palya and surrounding area in ward no 95.</t>
  </si>
  <si>
    <t>095-18-000006</t>
  </si>
  <si>
    <t>Providing Borewell and water supply at Shasthrinagara block and surrounding area in ward no 95.</t>
  </si>
  <si>
    <t>095-18-000007</t>
  </si>
  <si>
    <t>Providing Borewell and water supply at Hanumantharaypuram block and surrounding area in ward no 95.</t>
  </si>
  <si>
    <t>095-18-000005</t>
  </si>
  <si>
    <t>Providing Borewell and water supply at Jakkarayanakere block and surrounding area in ward no 95.</t>
  </si>
  <si>
    <t>095-18-000003</t>
  </si>
  <si>
    <t>Providing Borewell and water supply at Neelagiripapanna block and surrounding area in ward no 95.</t>
  </si>
  <si>
    <t>095-18-000001</t>
  </si>
  <si>
    <t>Providing Asphalting and Improvements works in Basaveshwaranagar Opp to Leprosy Hospital in ward no 95.</t>
  </si>
  <si>
    <t>095-18-000002</t>
  </si>
  <si>
    <t>Providing Asphalting and culverts to 5th Main road in ward no 95.</t>
  </si>
  <si>
    <t>095-18-000041</t>
  </si>
  <si>
    <t>Supplying of drinking water through tankers to all slums in ward no-095</t>
  </si>
  <si>
    <t>Drinking Water</t>
  </si>
  <si>
    <t>P1802</t>
  </si>
  <si>
    <t>Water Supply New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</si>
</sst>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tabSelected="1" workbookViewId="0">
      <pane ySplit="1" topLeftCell="A2" activePane="bottomLeft" state="frozen"/>
      <selection activeCell="H1" sqref="H1"/>
      <selection pane="bottomLeft" activeCell="A2" sqref="A2:XFD44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303</v>
      </c>
      <c r="B2" s="9" t="s">
        <v>33</v>
      </c>
      <c r="C2" s="10">
        <v>43199</v>
      </c>
      <c r="D2" s="11">
        <v>95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"000071"</f>
        <v>000071</v>
      </c>
      <c r="M2" s="10">
        <v>43176</v>
      </c>
      <c r="N2" s="11" t="str">
        <f>"000053"</f>
        <v>000053</v>
      </c>
      <c r="O2" s="10">
        <v>43176</v>
      </c>
      <c r="P2" s="11" t="str">
        <f>"000070"</f>
        <v>000070</v>
      </c>
      <c r="Q2" s="10">
        <v>43176</v>
      </c>
      <c r="R2" s="11">
        <v>17</v>
      </c>
      <c r="S2" s="11" t="str">
        <f>"000359"</f>
        <v>000359</v>
      </c>
      <c r="T2" s="10">
        <v>43196</v>
      </c>
      <c r="U2" s="14">
        <v>14.81664</v>
      </c>
      <c r="V2" s="14">
        <v>1.68405</v>
      </c>
      <c r="W2" s="14">
        <v>13.13259</v>
      </c>
      <c r="X2" s="11">
        <v>8</v>
      </c>
      <c r="Y2" s="10">
        <v>43199</v>
      </c>
      <c r="Z2" s="11">
        <v>9483161122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0.1481664</v>
      </c>
      <c r="AG2" s="11" t="s">
        <v>45</v>
      </c>
    </row>
    <row r="3" spans="1:33" x14ac:dyDescent="0.2">
      <c r="A3" s="8">
        <v>304</v>
      </c>
      <c r="B3" s="9" t="s">
        <v>33</v>
      </c>
      <c r="C3" s="10">
        <v>43199</v>
      </c>
      <c r="D3" s="11">
        <v>95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"000072"</f>
        <v>000072</v>
      </c>
      <c r="M3" s="10">
        <v>43176</v>
      </c>
      <c r="N3" s="11" t="str">
        <f>"000052"</f>
        <v>000052</v>
      </c>
      <c r="O3" s="10">
        <v>43176</v>
      </c>
      <c r="P3" s="11" t="str">
        <f>"000069"</f>
        <v>000069</v>
      </c>
      <c r="Q3" s="10">
        <v>43176</v>
      </c>
      <c r="R3" s="11">
        <v>17</v>
      </c>
      <c r="S3" s="11" t="str">
        <f>"000360"</f>
        <v>000360</v>
      </c>
      <c r="T3" s="10">
        <v>43196</v>
      </c>
      <c r="U3" s="14">
        <v>14.75848</v>
      </c>
      <c r="V3" s="14">
        <v>1.6518999999999999</v>
      </c>
      <c r="W3" s="14">
        <v>13.106579999999999</v>
      </c>
      <c r="X3" s="11">
        <v>8</v>
      </c>
      <c r="Y3" s="10">
        <v>43199</v>
      </c>
      <c r="Z3" s="11">
        <v>9483161122</v>
      </c>
      <c r="AA3" s="12" t="s">
        <v>40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0.14758480000000002</v>
      </c>
      <c r="AG3" s="11" t="s">
        <v>45</v>
      </c>
    </row>
    <row r="4" spans="1:33" x14ac:dyDescent="0.2">
      <c r="A4" s="8">
        <v>397</v>
      </c>
      <c r="B4" s="9" t="s">
        <v>33</v>
      </c>
      <c r="C4" s="10">
        <v>43200</v>
      </c>
      <c r="D4" s="11">
        <v>95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48</v>
      </c>
      <c r="J4" s="12" t="s">
        <v>49</v>
      </c>
      <c r="K4" s="13" t="s">
        <v>50</v>
      </c>
      <c r="L4" s="11" t="str">
        <f>"000013"</f>
        <v>000013</v>
      </c>
      <c r="M4" s="10">
        <v>41552</v>
      </c>
      <c r="N4" s="11" t="str">
        <f>"*00022"</f>
        <v>*00022</v>
      </c>
      <c r="O4" s="10">
        <v>42460</v>
      </c>
      <c r="P4" s="11" t="str">
        <f>"000312"</f>
        <v>000312</v>
      </c>
      <c r="Q4" s="10">
        <v>42579</v>
      </c>
      <c r="R4" s="11">
        <v>13</v>
      </c>
      <c r="S4" s="11" t="str">
        <f>"010988"</f>
        <v>010988</v>
      </c>
      <c r="T4" s="10">
        <v>43187</v>
      </c>
      <c r="U4" s="14">
        <v>41.604999999999997</v>
      </c>
      <c r="V4" s="14">
        <v>5.3959799999999998</v>
      </c>
      <c r="W4" s="14">
        <v>36.209020000000002</v>
      </c>
      <c r="X4" s="11">
        <v>9</v>
      </c>
      <c r="Y4" s="10">
        <v>43200</v>
      </c>
      <c r="Z4" s="11">
        <v>7349791195</v>
      </c>
      <c r="AA4" s="12" t="s">
        <v>51</v>
      </c>
      <c r="AB4" s="11" t="s">
        <v>52</v>
      </c>
      <c r="AC4" s="12" t="s">
        <v>53</v>
      </c>
      <c r="AD4" s="11" t="s">
        <v>54</v>
      </c>
      <c r="AE4" s="12" t="s">
        <v>55</v>
      </c>
      <c r="AF4" s="14">
        <v>0.41604999999999998</v>
      </c>
      <c r="AG4" s="11" t="s">
        <v>45</v>
      </c>
    </row>
    <row r="5" spans="1:33" x14ac:dyDescent="0.2">
      <c r="A5" s="8">
        <v>532</v>
      </c>
      <c r="B5" s="9" t="s">
        <v>33</v>
      </c>
      <c r="C5" s="10">
        <v>43203</v>
      </c>
      <c r="D5" s="11">
        <v>95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56</v>
      </c>
      <c r="J5" s="12" t="s">
        <v>57</v>
      </c>
      <c r="K5" s="13" t="s">
        <v>58</v>
      </c>
      <c r="L5" s="11" t="str">
        <f>"000.80"</f>
        <v>000.80</v>
      </c>
      <c r="M5" s="10">
        <v>42584</v>
      </c>
      <c r="N5" s="11" t="str">
        <f>"000184"</f>
        <v>000184</v>
      </c>
      <c r="O5" s="10">
        <v>42704</v>
      </c>
      <c r="P5" s="11" t="str">
        <f>"000437"</f>
        <v>000437</v>
      </c>
      <c r="Q5" s="10">
        <v>42704</v>
      </c>
      <c r="R5" s="11">
        <v>16</v>
      </c>
      <c r="S5" s="11" t="str">
        <f>"000383"</f>
        <v>000383</v>
      </c>
      <c r="T5" s="10">
        <v>43197</v>
      </c>
      <c r="U5" s="14">
        <v>9.9828700000000001</v>
      </c>
      <c r="V5" s="14">
        <v>1.3713299999999999</v>
      </c>
      <c r="W5" s="14">
        <v>8.6115399999999998</v>
      </c>
      <c r="X5" s="11">
        <v>20</v>
      </c>
      <c r="Y5" s="10">
        <v>43203</v>
      </c>
      <c r="Z5" s="11">
        <v>9483161122</v>
      </c>
      <c r="AA5" s="12" t="s">
        <v>40</v>
      </c>
      <c r="AB5" s="11" t="s">
        <v>59</v>
      </c>
      <c r="AC5" s="12" t="s">
        <v>60</v>
      </c>
      <c r="AD5" s="11" t="s">
        <v>43</v>
      </c>
      <c r="AE5" s="12" t="s">
        <v>44</v>
      </c>
      <c r="AF5" s="14">
        <v>9.9828700000000006E-2</v>
      </c>
      <c r="AG5" s="11" t="s">
        <v>45</v>
      </c>
    </row>
    <row r="6" spans="1:33" x14ac:dyDescent="0.2">
      <c r="A6" s="8">
        <v>533</v>
      </c>
      <c r="B6" s="9" t="s">
        <v>33</v>
      </c>
      <c r="C6" s="10">
        <v>43203</v>
      </c>
      <c r="D6" s="11">
        <v>95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61</v>
      </c>
      <c r="J6" s="12" t="s">
        <v>62</v>
      </c>
      <c r="K6" s="13" t="s">
        <v>58</v>
      </c>
      <c r="L6" s="11" t="str">
        <f>"000.78"</f>
        <v>000.78</v>
      </c>
      <c r="M6" s="10">
        <v>42584</v>
      </c>
      <c r="N6" s="11" t="str">
        <f>"000185"</f>
        <v>000185</v>
      </c>
      <c r="O6" s="10">
        <v>42704</v>
      </c>
      <c r="P6" s="11" t="str">
        <f>"000438"</f>
        <v>000438</v>
      </c>
      <c r="Q6" s="10">
        <v>42704</v>
      </c>
      <c r="R6" s="11">
        <v>16</v>
      </c>
      <c r="S6" s="11" t="str">
        <f>"000384"</f>
        <v>000384</v>
      </c>
      <c r="T6" s="10">
        <v>43197</v>
      </c>
      <c r="U6" s="14">
        <v>9.98813</v>
      </c>
      <c r="V6" s="14">
        <v>1.3759999999999999</v>
      </c>
      <c r="W6" s="14">
        <v>8.6121300000000005</v>
      </c>
      <c r="X6" s="11">
        <v>20</v>
      </c>
      <c r="Y6" s="10">
        <v>43203</v>
      </c>
      <c r="Z6" s="11">
        <v>9483161122</v>
      </c>
      <c r="AA6" s="12" t="s">
        <v>40</v>
      </c>
      <c r="AB6" s="11" t="s">
        <v>59</v>
      </c>
      <c r="AC6" s="12" t="s">
        <v>60</v>
      </c>
      <c r="AD6" s="11" t="s">
        <v>43</v>
      </c>
      <c r="AE6" s="12" t="s">
        <v>44</v>
      </c>
      <c r="AF6" s="14">
        <v>9.9881300000000006E-2</v>
      </c>
      <c r="AG6" s="11" t="s">
        <v>45</v>
      </c>
    </row>
    <row r="7" spans="1:33" x14ac:dyDescent="0.2">
      <c r="A7" s="8">
        <v>534</v>
      </c>
      <c r="B7" s="9" t="s">
        <v>33</v>
      </c>
      <c r="C7" s="10">
        <v>43203</v>
      </c>
      <c r="D7" s="11">
        <v>95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63</v>
      </c>
      <c r="J7" s="12" t="s">
        <v>64</v>
      </c>
      <c r="K7" s="13" t="s">
        <v>58</v>
      </c>
      <c r="L7" s="11" t="str">
        <f>"000.79"</f>
        <v>000.79</v>
      </c>
      <c r="M7" s="10">
        <v>42584</v>
      </c>
      <c r="N7" s="11" t="str">
        <f>"000182"</f>
        <v>000182</v>
      </c>
      <c r="O7" s="10">
        <v>42704</v>
      </c>
      <c r="P7" s="11" t="str">
        <f>"000439"</f>
        <v>000439</v>
      </c>
      <c r="Q7" s="10">
        <v>42704</v>
      </c>
      <c r="R7" s="11">
        <v>16</v>
      </c>
      <c r="S7" s="11" t="str">
        <f>"000385"</f>
        <v>000385</v>
      </c>
      <c r="T7" s="10">
        <v>43197</v>
      </c>
      <c r="U7" s="14">
        <v>9.9886999999999997</v>
      </c>
      <c r="V7" s="14">
        <v>1.31606</v>
      </c>
      <c r="W7" s="14">
        <v>8.6726399999999995</v>
      </c>
      <c r="X7" s="11">
        <v>20</v>
      </c>
      <c r="Y7" s="10">
        <v>43203</v>
      </c>
      <c r="Z7" s="11">
        <v>9483161122</v>
      </c>
      <c r="AA7" s="12" t="s">
        <v>40</v>
      </c>
      <c r="AB7" s="11" t="s">
        <v>59</v>
      </c>
      <c r="AC7" s="12" t="s">
        <v>60</v>
      </c>
      <c r="AD7" s="11" t="s">
        <v>43</v>
      </c>
      <c r="AE7" s="12" t="s">
        <v>44</v>
      </c>
      <c r="AF7" s="14">
        <v>9.9887000000000004E-2</v>
      </c>
      <c r="AG7" s="11" t="s">
        <v>45</v>
      </c>
    </row>
    <row r="8" spans="1:33" x14ac:dyDescent="0.2">
      <c r="A8" s="8">
        <v>726</v>
      </c>
      <c r="B8" s="9" t="s">
        <v>33</v>
      </c>
      <c r="C8" s="10">
        <v>43216</v>
      </c>
      <c r="D8" s="11">
        <v>95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65</v>
      </c>
      <c r="J8" s="12" t="s">
        <v>66</v>
      </c>
      <c r="K8" s="13" t="s">
        <v>39</v>
      </c>
      <c r="L8" s="11" t="str">
        <f>"000074"</f>
        <v>000074</v>
      </c>
      <c r="M8" s="10">
        <v>43176</v>
      </c>
      <c r="N8" s="11" t="str">
        <f>"000055"</f>
        <v>000055</v>
      </c>
      <c r="O8" s="10">
        <v>43176</v>
      </c>
      <c r="P8" s="11" t="str">
        <f>"000072"</f>
        <v>000072</v>
      </c>
      <c r="Q8" s="10">
        <v>43176</v>
      </c>
      <c r="R8" s="11">
        <v>18</v>
      </c>
      <c r="S8" s="11" t="str">
        <f>"000627"</f>
        <v>000627</v>
      </c>
      <c r="T8" s="10">
        <v>43214</v>
      </c>
      <c r="U8" s="14">
        <v>19.834150000000001</v>
      </c>
      <c r="V8" s="14">
        <v>1.8586</v>
      </c>
      <c r="W8" s="14">
        <v>17.975549999999998</v>
      </c>
      <c r="X8" s="11">
        <v>25</v>
      </c>
      <c r="Y8" s="10">
        <v>43216</v>
      </c>
      <c r="Z8" s="11">
        <v>9483161122</v>
      </c>
      <c r="AA8" s="12" t="s">
        <v>40</v>
      </c>
      <c r="AB8" s="11" t="s">
        <v>67</v>
      </c>
      <c r="AC8" s="12" t="s">
        <v>68</v>
      </c>
      <c r="AD8" s="11" t="s">
        <v>43</v>
      </c>
      <c r="AE8" s="12" t="s">
        <v>44</v>
      </c>
      <c r="AF8" s="14">
        <v>0.1983415</v>
      </c>
      <c r="AG8" s="11" t="s">
        <v>45</v>
      </c>
    </row>
    <row r="9" spans="1:33" x14ac:dyDescent="0.2">
      <c r="A9" s="8">
        <v>1212</v>
      </c>
      <c r="B9" s="9" t="s">
        <v>69</v>
      </c>
      <c r="C9" s="10">
        <v>43238</v>
      </c>
      <c r="D9" s="11">
        <v>95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70</v>
      </c>
      <c r="J9" s="12" t="s">
        <v>71</v>
      </c>
      <c r="K9" s="13" t="s">
        <v>58</v>
      </c>
      <c r="L9" s="11" t="str">
        <f>"000172"</f>
        <v>000172</v>
      </c>
      <c r="M9" s="10">
        <v>42061</v>
      </c>
      <c r="N9" s="11" t="str">
        <f>"000093"</f>
        <v>000093</v>
      </c>
      <c r="O9" s="10">
        <v>42609</v>
      </c>
      <c r="P9" s="11" t="str">
        <f>"000234"</f>
        <v>000234</v>
      </c>
      <c r="Q9" s="10">
        <v>42609</v>
      </c>
      <c r="R9" s="11">
        <v>15</v>
      </c>
      <c r="S9" s="11" t="str">
        <f>"001400"</f>
        <v>001400</v>
      </c>
      <c r="T9" s="10">
        <v>43236</v>
      </c>
      <c r="U9" s="14">
        <v>4.8719599999999996</v>
      </c>
      <c r="V9" s="14">
        <v>0.65134000000000003</v>
      </c>
      <c r="W9" s="14">
        <v>4.2206200000000003</v>
      </c>
      <c r="X9" s="11">
        <v>52</v>
      </c>
      <c r="Y9" s="10">
        <v>43238</v>
      </c>
      <c r="Z9" s="11">
        <v>1234567890</v>
      </c>
      <c r="AA9" s="12" t="s">
        <v>72</v>
      </c>
      <c r="AB9" s="11" t="s">
        <v>52</v>
      </c>
      <c r="AC9" s="12" t="s">
        <v>53</v>
      </c>
      <c r="AD9" s="11" t="s">
        <v>43</v>
      </c>
      <c r="AE9" s="12" t="s">
        <v>44</v>
      </c>
      <c r="AF9" s="14">
        <v>4.8719599999999995E-2</v>
      </c>
      <c r="AG9" s="11" t="s">
        <v>45</v>
      </c>
    </row>
    <row r="10" spans="1:33" x14ac:dyDescent="0.2">
      <c r="A10" s="8">
        <v>1642</v>
      </c>
      <c r="B10" s="9" t="s">
        <v>73</v>
      </c>
      <c r="C10" s="10">
        <v>43252</v>
      </c>
      <c r="D10" s="11">
        <v>95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74</v>
      </c>
      <c r="J10" s="12" t="s">
        <v>75</v>
      </c>
      <c r="K10" s="13" t="s">
        <v>50</v>
      </c>
      <c r="L10" s="11" t="str">
        <f>"000178"</f>
        <v>000178</v>
      </c>
      <c r="M10" s="10">
        <v>42803</v>
      </c>
      <c r="N10" s="11" t="str">
        <f>"000003"</f>
        <v>000003</v>
      </c>
      <c r="O10" s="10">
        <v>42880</v>
      </c>
      <c r="P10" s="11" t="str">
        <f>"000144"</f>
        <v>000144</v>
      </c>
      <c r="Q10" s="10">
        <v>42880</v>
      </c>
      <c r="R10" s="11">
        <v>14</v>
      </c>
      <c r="S10" s="11" t="str">
        <f>"001921"</f>
        <v>001921</v>
      </c>
      <c r="T10" s="10">
        <v>43246</v>
      </c>
      <c r="U10" s="14">
        <v>8.6714500000000001</v>
      </c>
      <c r="V10" s="14">
        <v>1.2063200000000001</v>
      </c>
      <c r="W10" s="14">
        <v>7.4651300000000003</v>
      </c>
      <c r="X10" s="11">
        <v>64</v>
      </c>
      <c r="Y10" s="10">
        <v>43252</v>
      </c>
      <c r="Z10" s="11">
        <v>9483161122</v>
      </c>
      <c r="AA10" s="12" t="s">
        <v>40</v>
      </c>
      <c r="AB10" s="11" t="s">
        <v>52</v>
      </c>
      <c r="AC10" s="12" t="s">
        <v>53</v>
      </c>
      <c r="AD10" s="11" t="s">
        <v>43</v>
      </c>
      <c r="AE10" s="12" t="s">
        <v>44</v>
      </c>
      <c r="AF10" s="14">
        <v>8.67145E-2</v>
      </c>
      <c r="AG10" s="11" t="s">
        <v>45</v>
      </c>
    </row>
    <row r="11" spans="1:33" x14ac:dyDescent="0.2">
      <c r="A11" s="8">
        <v>1831</v>
      </c>
      <c r="B11" s="9" t="s">
        <v>73</v>
      </c>
      <c r="C11" s="10">
        <v>43257</v>
      </c>
      <c r="D11" s="11">
        <v>95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76</v>
      </c>
      <c r="J11" s="12" t="s">
        <v>77</v>
      </c>
      <c r="K11" s="13" t="s">
        <v>39</v>
      </c>
      <c r="L11" s="11" t="str">
        <f>"p00004"</f>
        <v>p00004</v>
      </c>
      <c r="M11" s="10">
        <v>42509</v>
      </c>
      <c r="N11" s="11" t="str">
        <f>"D00009"</f>
        <v>D00009</v>
      </c>
      <c r="O11" s="10">
        <v>42621</v>
      </c>
      <c r="P11" s="11" t="str">
        <f>"000439"</f>
        <v>000439</v>
      </c>
      <c r="Q11" s="10">
        <v>42627</v>
      </c>
      <c r="R11" s="11">
        <v>15</v>
      </c>
      <c r="S11" s="11" t="str">
        <f>"002143"</f>
        <v>002143</v>
      </c>
      <c r="T11" s="10">
        <v>43255</v>
      </c>
      <c r="U11" s="14">
        <v>59.798400000000001</v>
      </c>
      <c r="V11" s="14">
        <v>8.9305400000000006</v>
      </c>
      <c r="W11" s="14">
        <v>50.86786</v>
      </c>
      <c r="X11" s="11">
        <v>71</v>
      </c>
      <c r="Y11" s="10">
        <v>43257</v>
      </c>
      <c r="Z11" s="11">
        <v>9035562323</v>
      </c>
      <c r="AA11" s="12" t="s">
        <v>78</v>
      </c>
      <c r="AB11" s="11" t="s">
        <v>79</v>
      </c>
      <c r="AC11" s="12" t="s">
        <v>80</v>
      </c>
      <c r="AD11" s="11" t="s">
        <v>54</v>
      </c>
      <c r="AE11" s="12" t="s">
        <v>55</v>
      </c>
      <c r="AF11" s="14">
        <v>0.59798399999999996</v>
      </c>
      <c r="AG11" s="11" t="s">
        <v>45</v>
      </c>
    </row>
    <row r="12" spans="1:33" x14ac:dyDescent="0.2">
      <c r="A12" s="8">
        <v>2329</v>
      </c>
      <c r="B12" s="9" t="s">
        <v>73</v>
      </c>
      <c r="C12" s="10">
        <v>43269</v>
      </c>
      <c r="D12" s="11">
        <v>95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81</v>
      </c>
      <c r="J12" s="12" t="s">
        <v>82</v>
      </c>
      <c r="K12" s="13" t="s">
        <v>50</v>
      </c>
      <c r="L12" s="11" t="str">
        <f>"000159"</f>
        <v>000159</v>
      </c>
      <c r="M12" s="10">
        <v>42781</v>
      </c>
      <c r="N12" s="11" t="str">
        <f>"000241"</f>
        <v>000241</v>
      </c>
      <c r="O12" s="10">
        <v>42825</v>
      </c>
      <c r="P12" s="11" t="str">
        <f>"000576"</f>
        <v>000576</v>
      </c>
      <c r="Q12" s="10">
        <v>42825</v>
      </c>
      <c r="R12" s="11">
        <v>17</v>
      </c>
      <c r="S12" s="11" t="str">
        <f>"002528"</f>
        <v>002528</v>
      </c>
      <c r="T12" s="10">
        <v>43264</v>
      </c>
      <c r="U12" s="14">
        <v>9.9735700000000005</v>
      </c>
      <c r="V12" s="14">
        <v>1.15998</v>
      </c>
      <c r="W12" s="14">
        <v>8.8135899999999996</v>
      </c>
      <c r="X12" s="11">
        <v>91</v>
      </c>
      <c r="Y12" s="10">
        <v>43269</v>
      </c>
      <c r="Z12" s="11">
        <v>9886259525</v>
      </c>
      <c r="AA12" s="12" t="s">
        <v>83</v>
      </c>
      <c r="AB12" s="11" t="s">
        <v>52</v>
      </c>
      <c r="AC12" s="12" t="s">
        <v>53</v>
      </c>
      <c r="AD12" s="11" t="s">
        <v>43</v>
      </c>
      <c r="AE12" s="12" t="s">
        <v>44</v>
      </c>
      <c r="AF12" s="14">
        <v>9.973570000000001E-2</v>
      </c>
      <c r="AG12" s="11" t="s">
        <v>45</v>
      </c>
    </row>
    <row r="13" spans="1:33" x14ac:dyDescent="0.2">
      <c r="A13" s="8">
        <v>3075</v>
      </c>
      <c r="B13" s="9" t="s">
        <v>84</v>
      </c>
      <c r="C13" s="10">
        <v>43287</v>
      </c>
      <c r="D13" s="11">
        <v>95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85</v>
      </c>
      <c r="J13" s="12" t="s">
        <v>86</v>
      </c>
      <c r="K13" s="13" t="s">
        <v>39</v>
      </c>
      <c r="L13" s="11" t="str">
        <f>"00.093"</f>
        <v>00.093</v>
      </c>
      <c r="M13" s="10">
        <v>42637</v>
      </c>
      <c r="N13" s="11" t="str">
        <f>"000183"</f>
        <v>000183</v>
      </c>
      <c r="O13" s="10">
        <v>42916</v>
      </c>
      <c r="P13" s="11" t="str">
        <f>"000440"</f>
        <v>000440</v>
      </c>
      <c r="Q13" s="10">
        <v>42704</v>
      </c>
      <c r="R13" s="11">
        <v>17</v>
      </c>
      <c r="S13" s="11" t="str">
        <f>"003304"</f>
        <v>003304</v>
      </c>
      <c r="T13" s="10">
        <v>43285</v>
      </c>
      <c r="U13" s="14">
        <v>9.8890799999999999</v>
      </c>
      <c r="V13" s="14">
        <v>1.33551</v>
      </c>
      <c r="W13" s="14">
        <v>8.5535700000000006</v>
      </c>
      <c r="X13" s="11">
        <v>113</v>
      </c>
      <c r="Y13" s="10">
        <v>43287</v>
      </c>
      <c r="Z13" s="11">
        <v>9483161122</v>
      </c>
      <c r="AA13" s="12" t="s">
        <v>40</v>
      </c>
      <c r="AB13" s="11" t="s">
        <v>87</v>
      </c>
      <c r="AC13" s="12" t="s">
        <v>88</v>
      </c>
      <c r="AD13" s="11" t="s">
        <v>43</v>
      </c>
      <c r="AE13" s="12" t="s">
        <v>44</v>
      </c>
      <c r="AF13" s="14">
        <v>9.8890800000000001E-2</v>
      </c>
      <c r="AG13" s="11" t="s">
        <v>45</v>
      </c>
    </row>
    <row r="14" spans="1:33" x14ac:dyDescent="0.2">
      <c r="A14" s="8">
        <v>3076</v>
      </c>
      <c r="B14" s="9" t="s">
        <v>84</v>
      </c>
      <c r="C14" s="10">
        <v>43287</v>
      </c>
      <c r="D14" s="11">
        <v>95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89</v>
      </c>
      <c r="J14" s="12" t="s">
        <v>90</v>
      </c>
      <c r="K14" s="13" t="s">
        <v>91</v>
      </c>
      <c r="L14" s="11" t="str">
        <f>"000.92"</f>
        <v>000.92</v>
      </c>
      <c r="M14" s="10">
        <v>42637</v>
      </c>
      <c r="N14" s="11" t="str">
        <f>"000187"</f>
        <v>000187</v>
      </c>
      <c r="O14" s="10">
        <v>42704</v>
      </c>
      <c r="P14" s="11" t="str">
        <f>"000441"</f>
        <v>000441</v>
      </c>
      <c r="Q14" s="10">
        <v>42704</v>
      </c>
      <c r="R14" s="11">
        <v>17</v>
      </c>
      <c r="S14" s="11" t="str">
        <f>"003305"</f>
        <v>003305</v>
      </c>
      <c r="T14" s="10">
        <v>43285</v>
      </c>
      <c r="U14" s="14">
        <v>9.8720099999999995</v>
      </c>
      <c r="V14" s="14">
        <v>1.32741</v>
      </c>
      <c r="W14" s="14">
        <v>8.5446000000000009</v>
      </c>
      <c r="X14" s="11">
        <v>113</v>
      </c>
      <c r="Y14" s="10">
        <v>43287</v>
      </c>
      <c r="Z14" s="11">
        <v>9483161122</v>
      </c>
      <c r="AA14" s="12" t="s">
        <v>40</v>
      </c>
      <c r="AB14" s="11" t="s">
        <v>87</v>
      </c>
      <c r="AC14" s="12" t="s">
        <v>88</v>
      </c>
      <c r="AD14" s="11" t="s">
        <v>43</v>
      </c>
      <c r="AE14" s="12" t="s">
        <v>44</v>
      </c>
      <c r="AF14" s="14">
        <v>9.8720099999999991E-2</v>
      </c>
      <c r="AG14" s="11" t="s">
        <v>45</v>
      </c>
    </row>
    <row r="15" spans="1:33" x14ac:dyDescent="0.2">
      <c r="A15" s="8">
        <v>3532</v>
      </c>
      <c r="B15" s="9" t="s">
        <v>84</v>
      </c>
      <c r="C15" s="10">
        <v>43299</v>
      </c>
      <c r="D15" s="11">
        <v>95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92</v>
      </c>
      <c r="J15" s="12" t="s">
        <v>93</v>
      </c>
      <c r="K15" s="13" t="s">
        <v>50</v>
      </c>
      <c r="L15" s="11" t="str">
        <f>"0000*2"</f>
        <v>0000*2</v>
      </c>
      <c r="M15" s="10">
        <v>41807</v>
      </c>
      <c r="N15" s="11" t="str">
        <f>"000020"</f>
        <v>000020</v>
      </c>
      <c r="O15" s="10">
        <v>42950</v>
      </c>
      <c r="P15" s="11" t="str">
        <f>"000062"</f>
        <v>000062</v>
      </c>
      <c r="Q15" s="10">
        <v>42950</v>
      </c>
      <c r="R15" s="11">
        <v>14</v>
      </c>
      <c r="S15" s="11" t="str">
        <f>"003784"</f>
        <v>003784</v>
      </c>
      <c r="T15" s="10">
        <v>43294</v>
      </c>
      <c r="U15" s="14">
        <v>8.6768199999999993</v>
      </c>
      <c r="V15" s="14">
        <v>0.54505999999999999</v>
      </c>
      <c r="W15" s="14">
        <v>8.1317599999999999</v>
      </c>
      <c r="X15" s="11">
        <v>129</v>
      </c>
      <c r="Y15" s="10">
        <v>43299</v>
      </c>
      <c r="Z15" s="11">
        <v>9141648915</v>
      </c>
      <c r="AA15" s="12" t="s">
        <v>94</v>
      </c>
      <c r="AB15" s="11" t="s">
        <v>52</v>
      </c>
      <c r="AC15" s="12" t="s">
        <v>53</v>
      </c>
      <c r="AD15" s="11" t="s">
        <v>95</v>
      </c>
      <c r="AE15" s="12" t="s">
        <v>96</v>
      </c>
      <c r="AF15" s="14">
        <v>8.676819999999999E-2</v>
      </c>
      <c r="AG15" s="11" t="s">
        <v>45</v>
      </c>
    </row>
    <row r="16" spans="1:33" x14ac:dyDescent="0.2">
      <c r="A16" s="8">
        <v>3920</v>
      </c>
      <c r="B16" s="9" t="s">
        <v>84</v>
      </c>
      <c r="C16" s="10">
        <v>43305</v>
      </c>
      <c r="D16" s="11">
        <v>95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97</v>
      </c>
      <c r="J16" s="12" t="s">
        <v>98</v>
      </c>
      <c r="K16" s="13" t="s">
        <v>58</v>
      </c>
      <c r="L16" s="11" t="str">
        <f>"000115"</f>
        <v>000115</v>
      </c>
      <c r="M16" s="10">
        <v>42668</v>
      </c>
      <c r="N16" s="11" t="str">
        <f>"000204"</f>
        <v>000204</v>
      </c>
      <c r="O16" s="10">
        <v>42762</v>
      </c>
      <c r="P16" s="11" t="str">
        <f>"000477"</f>
        <v>000477</v>
      </c>
      <c r="Q16" s="10">
        <v>42762</v>
      </c>
      <c r="R16" s="11">
        <v>16</v>
      </c>
      <c r="S16" s="11" t="str">
        <f>"004096"</f>
        <v>004096</v>
      </c>
      <c r="T16" s="10">
        <v>43301</v>
      </c>
      <c r="U16" s="14">
        <v>8.2861200000000004</v>
      </c>
      <c r="V16" s="14">
        <v>0.96367999999999998</v>
      </c>
      <c r="W16" s="14">
        <v>7.3224400000000003</v>
      </c>
      <c r="X16" s="11">
        <v>139</v>
      </c>
      <c r="Y16" s="10">
        <v>43305</v>
      </c>
      <c r="Z16" s="11">
        <v>1234567890</v>
      </c>
      <c r="AA16" s="12" t="s">
        <v>99</v>
      </c>
      <c r="AB16" s="11" t="s">
        <v>52</v>
      </c>
      <c r="AC16" s="12" t="s">
        <v>53</v>
      </c>
      <c r="AD16" s="11" t="s">
        <v>43</v>
      </c>
      <c r="AE16" s="12" t="s">
        <v>44</v>
      </c>
      <c r="AF16" s="14">
        <v>8.286120000000001E-2</v>
      </c>
      <c r="AG16" s="11" t="s">
        <v>45</v>
      </c>
    </row>
    <row r="17" spans="1:33" x14ac:dyDescent="0.2">
      <c r="A17" s="8">
        <v>3921</v>
      </c>
      <c r="B17" s="9" t="s">
        <v>84</v>
      </c>
      <c r="C17" s="10">
        <v>43305</v>
      </c>
      <c r="D17" s="11">
        <v>95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100</v>
      </c>
      <c r="J17" s="12" t="s">
        <v>101</v>
      </c>
      <c r="K17" s="13" t="s">
        <v>50</v>
      </c>
      <c r="L17" s="11" t="str">
        <f>"000.87"</f>
        <v>000.87</v>
      </c>
      <c r="M17" s="10">
        <v>42630</v>
      </c>
      <c r="N17" s="11" t="str">
        <f>"000201"</f>
        <v>000201</v>
      </c>
      <c r="O17" s="10">
        <v>42762</v>
      </c>
      <c r="P17" s="11" t="str">
        <f>"000479"</f>
        <v>000479</v>
      </c>
      <c r="Q17" s="10">
        <v>42762</v>
      </c>
      <c r="R17" s="11">
        <v>16</v>
      </c>
      <c r="S17" s="11" t="str">
        <f>"004109"</f>
        <v>004109</v>
      </c>
      <c r="T17" s="10">
        <v>43301</v>
      </c>
      <c r="U17" s="14">
        <v>14.93661</v>
      </c>
      <c r="V17" s="14">
        <v>2.0641799999999999</v>
      </c>
      <c r="W17" s="14">
        <v>12.87243</v>
      </c>
      <c r="X17" s="11">
        <v>139</v>
      </c>
      <c r="Y17" s="10">
        <v>43305</v>
      </c>
      <c r="Z17" s="11">
        <v>9483161122</v>
      </c>
      <c r="AA17" s="12" t="s">
        <v>40</v>
      </c>
      <c r="AB17" s="11" t="s">
        <v>102</v>
      </c>
      <c r="AC17" s="12" t="s">
        <v>103</v>
      </c>
      <c r="AD17" s="11" t="s">
        <v>43</v>
      </c>
      <c r="AE17" s="12" t="s">
        <v>44</v>
      </c>
      <c r="AF17" s="14">
        <v>0.1493661</v>
      </c>
      <c r="AG17" s="11" t="s">
        <v>45</v>
      </c>
    </row>
    <row r="18" spans="1:33" x14ac:dyDescent="0.2">
      <c r="A18" s="8">
        <v>3922</v>
      </c>
      <c r="B18" s="9" t="s">
        <v>84</v>
      </c>
      <c r="C18" s="10">
        <v>43305</v>
      </c>
      <c r="D18" s="11">
        <v>95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104</v>
      </c>
      <c r="J18" s="12" t="s">
        <v>105</v>
      </c>
      <c r="K18" s="13" t="s">
        <v>39</v>
      </c>
      <c r="L18" s="11" t="str">
        <f>"000970"</f>
        <v>000970</v>
      </c>
      <c r="M18" s="10">
        <v>41698</v>
      </c>
      <c r="N18" s="11" t="str">
        <f>"000208"</f>
        <v>000208</v>
      </c>
      <c r="O18" s="10">
        <v>42762</v>
      </c>
      <c r="P18" s="11" t="str">
        <f>"000480"</f>
        <v>000480</v>
      </c>
      <c r="Q18" s="10">
        <v>42762</v>
      </c>
      <c r="R18" s="11">
        <v>14</v>
      </c>
      <c r="S18" s="11" t="str">
        <f>"004110"</f>
        <v>004110</v>
      </c>
      <c r="T18" s="10">
        <v>43301</v>
      </c>
      <c r="U18" s="14">
        <v>10.77182</v>
      </c>
      <c r="V18" s="14">
        <v>1.57159</v>
      </c>
      <c r="W18" s="14">
        <v>9.2002299999999995</v>
      </c>
      <c r="X18" s="11">
        <v>139</v>
      </c>
      <c r="Y18" s="10">
        <v>43305</v>
      </c>
      <c r="Z18" s="11">
        <v>9483161122</v>
      </c>
      <c r="AA18" s="12" t="s">
        <v>40</v>
      </c>
      <c r="AB18" s="11" t="s">
        <v>87</v>
      </c>
      <c r="AC18" s="12" t="s">
        <v>88</v>
      </c>
      <c r="AD18" s="11" t="s">
        <v>43</v>
      </c>
      <c r="AE18" s="12" t="s">
        <v>44</v>
      </c>
      <c r="AF18" s="14">
        <v>0.1077182</v>
      </c>
      <c r="AG18" s="11" t="s">
        <v>45</v>
      </c>
    </row>
    <row r="19" spans="1:33" x14ac:dyDescent="0.2">
      <c r="A19" s="8">
        <v>3923</v>
      </c>
      <c r="B19" s="9" t="s">
        <v>84</v>
      </c>
      <c r="C19" s="10">
        <v>43305</v>
      </c>
      <c r="D19" s="11">
        <v>95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106</v>
      </c>
      <c r="J19" s="12" t="s">
        <v>107</v>
      </c>
      <c r="K19" s="13" t="s">
        <v>50</v>
      </c>
      <c r="L19" s="11" t="str">
        <f>"00.081"</f>
        <v>00.081</v>
      </c>
      <c r="M19" s="10">
        <v>42584</v>
      </c>
      <c r="N19" s="11" t="str">
        <f>"000203"</f>
        <v>000203</v>
      </c>
      <c r="O19" s="10">
        <v>42762</v>
      </c>
      <c r="P19" s="11" t="str">
        <f>"000481"</f>
        <v>000481</v>
      </c>
      <c r="Q19" s="10">
        <v>42762</v>
      </c>
      <c r="R19" s="11">
        <v>16</v>
      </c>
      <c r="S19" s="11" t="str">
        <f>"004123"</f>
        <v>004123</v>
      </c>
      <c r="T19" s="10">
        <v>43301</v>
      </c>
      <c r="U19" s="14">
        <v>14.990460000000001</v>
      </c>
      <c r="V19" s="14">
        <v>2.0337700000000001</v>
      </c>
      <c r="W19" s="14">
        <v>12.95669</v>
      </c>
      <c r="X19" s="11">
        <v>139</v>
      </c>
      <c r="Y19" s="10">
        <v>43305</v>
      </c>
      <c r="Z19" s="11">
        <v>9483161122</v>
      </c>
      <c r="AA19" s="12" t="s">
        <v>40</v>
      </c>
      <c r="AB19" s="11" t="s">
        <v>102</v>
      </c>
      <c r="AC19" s="12" t="s">
        <v>103</v>
      </c>
      <c r="AD19" s="11" t="s">
        <v>43</v>
      </c>
      <c r="AE19" s="12" t="s">
        <v>44</v>
      </c>
      <c r="AF19" s="14">
        <v>0.1499046</v>
      </c>
      <c r="AG19" s="11" t="s">
        <v>45</v>
      </c>
    </row>
    <row r="20" spans="1:33" x14ac:dyDescent="0.2">
      <c r="A20" s="8">
        <v>3924</v>
      </c>
      <c r="B20" s="9" t="s">
        <v>84</v>
      </c>
      <c r="C20" s="10">
        <v>43305</v>
      </c>
      <c r="D20" s="11">
        <v>95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108</v>
      </c>
      <c r="J20" s="12" t="s">
        <v>109</v>
      </c>
      <c r="K20" s="13" t="s">
        <v>50</v>
      </c>
      <c r="L20" s="11" t="str">
        <f>"000.88"</f>
        <v>000.88</v>
      </c>
      <c r="M20" s="10">
        <v>42630</v>
      </c>
      <c r="N20" s="11" t="str">
        <f>"000205"</f>
        <v>000205</v>
      </c>
      <c r="O20" s="10">
        <v>42762</v>
      </c>
      <c r="P20" s="11" t="str">
        <f>"000484"</f>
        <v>000484</v>
      </c>
      <c r="Q20" s="10">
        <v>42762</v>
      </c>
      <c r="R20" s="11">
        <v>16</v>
      </c>
      <c r="S20" s="11" t="str">
        <f>"004124"</f>
        <v>004124</v>
      </c>
      <c r="T20" s="10">
        <v>43301</v>
      </c>
      <c r="U20" s="14">
        <v>19.987159999999999</v>
      </c>
      <c r="V20" s="14">
        <v>2.73184</v>
      </c>
      <c r="W20" s="14">
        <v>17.255320000000001</v>
      </c>
      <c r="X20" s="11">
        <v>139</v>
      </c>
      <c r="Y20" s="10">
        <v>43305</v>
      </c>
      <c r="Z20" s="11">
        <v>9483161122</v>
      </c>
      <c r="AA20" s="12" t="s">
        <v>40</v>
      </c>
      <c r="AB20" s="11" t="s">
        <v>102</v>
      </c>
      <c r="AC20" s="12" t="s">
        <v>103</v>
      </c>
      <c r="AD20" s="11" t="s">
        <v>43</v>
      </c>
      <c r="AE20" s="12" t="s">
        <v>44</v>
      </c>
      <c r="AF20" s="14">
        <v>0.19987159999999998</v>
      </c>
      <c r="AG20" s="11" t="s">
        <v>45</v>
      </c>
    </row>
    <row r="21" spans="1:33" x14ac:dyDescent="0.2">
      <c r="A21" s="8">
        <v>4503</v>
      </c>
      <c r="B21" s="9" t="s">
        <v>110</v>
      </c>
      <c r="C21" s="10">
        <v>43318</v>
      </c>
      <c r="D21" s="11">
        <v>95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111</v>
      </c>
      <c r="J21" s="12" t="s">
        <v>112</v>
      </c>
      <c r="K21" s="13" t="s">
        <v>39</v>
      </c>
      <c r="L21" s="11" t="str">
        <f>"0.0091"</f>
        <v>0.0091</v>
      </c>
      <c r="M21" s="10">
        <v>42637</v>
      </c>
      <c r="N21" s="11" t="str">
        <f>"000186"</f>
        <v>000186</v>
      </c>
      <c r="O21" s="10">
        <v>42756</v>
      </c>
      <c r="P21" s="11" t="str">
        <f>"000476"</f>
        <v>000476</v>
      </c>
      <c r="Q21" s="10">
        <v>42756</v>
      </c>
      <c r="R21" s="11">
        <v>17</v>
      </c>
      <c r="S21" s="11" t="str">
        <f>"004666"</f>
        <v>004666</v>
      </c>
      <c r="T21" s="10">
        <v>43313</v>
      </c>
      <c r="U21" s="14">
        <v>10.088150000000001</v>
      </c>
      <c r="V21" s="14">
        <v>1.5203599999999999</v>
      </c>
      <c r="W21" s="14">
        <v>8.5677900000000005</v>
      </c>
      <c r="X21" s="11">
        <v>159</v>
      </c>
      <c r="Y21" s="10">
        <v>43318</v>
      </c>
      <c r="Z21" s="11">
        <v>9483161122</v>
      </c>
      <c r="AA21" s="12" t="s">
        <v>40</v>
      </c>
      <c r="AB21" s="11" t="s">
        <v>87</v>
      </c>
      <c r="AC21" s="12" t="s">
        <v>88</v>
      </c>
      <c r="AD21" s="11" t="s">
        <v>43</v>
      </c>
      <c r="AE21" s="12" t="s">
        <v>44</v>
      </c>
      <c r="AF21" s="14">
        <v>0.10088150000000001</v>
      </c>
      <c r="AG21" s="11" t="s">
        <v>45</v>
      </c>
    </row>
    <row r="22" spans="1:33" x14ac:dyDescent="0.2">
      <c r="A22" s="8">
        <v>5802</v>
      </c>
      <c r="B22" s="9" t="s">
        <v>113</v>
      </c>
      <c r="C22" s="10">
        <v>43377</v>
      </c>
      <c r="D22" s="11">
        <v>95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114</v>
      </c>
      <c r="J22" s="12" t="s">
        <v>115</v>
      </c>
      <c r="K22" s="13" t="s">
        <v>39</v>
      </c>
      <c r="L22" s="11" t="str">
        <f>"000014"</f>
        <v>000014</v>
      </c>
      <c r="M22" s="10">
        <v>43308</v>
      </c>
      <c r="N22" s="11" t="str">
        <f>"000092"</f>
        <v>000092</v>
      </c>
      <c r="O22" s="10">
        <v>43350</v>
      </c>
      <c r="P22" s="11" t="str">
        <f>"000090"</f>
        <v>000090</v>
      </c>
      <c r="Q22" s="10">
        <v>43350</v>
      </c>
      <c r="R22" s="11">
        <v>18</v>
      </c>
      <c r="S22" s="11" t="str">
        <f>"006108"</f>
        <v>006108</v>
      </c>
      <c r="T22" s="10">
        <v>43376</v>
      </c>
      <c r="U22" s="14">
        <v>9.9668799999999997</v>
      </c>
      <c r="V22" s="14">
        <v>0.90698999999999996</v>
      </c>
      <c r="W22" s="14">
        <v>9.0598899999999993</v>
      </c>
      <c r="X22" s="11">
        <v>220</v>
      </c>
      <c r="Y22" s="10">
        <v>43377</v>
      </c>
      <c r="Z22" s="11">
        <v>9141546291</v>
      </c>
      <c r="AA22" s="12" t="s">
        <v>116</v>
      </c>
      <c r="AB22" s="11" t="s">
        <v>117</v>
      </c>
      <c r="AC22" s="12" t="s">
        <v>118</v>
      </c>
      <c r="AD22" s="11" t="s">
        <v>119</v>
      </c>
      <c r="AE22" s="12" t="s">
        <v>120</v>
      </c>
      <c r="AF22" s="14">
        <f t="shared" ref="AF22:AF44" si="0">U22/100</f>
        <v>9.9668800000000002E-2</v>
      </c>
      <c r="AG22" s="11" t="s">
        <v>121</v>
      </c>
    </row>
    <row r="23" spans="1:33" x14ac:dyDescent="0.2">
      <c r="A23" s="8">
        <v>5803</v>
      </c>
      <c r="B23" s="9" t="s">
        <v>113</v>
      </c>
      <c r="C23" s="10">
        <v>43377</v>
      </c>
      <c r="D23" s="11">
        <v>95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114</v>
      </c>
      <c r="J23" s="12" t="s">
        <v>115</v>
      </c>
      <c r="K23" s="13" t="s">
        <v>39</v>
      </c>
      <c r="L23" s="11" t="str">
        <f>"000014"</f>
        <v>000014</v>
      </c>
      <c r="M23" s="10">
        <v>43308</v>
      </c>
      <c r="N23" s="11" t="str">
        <f>"000092"</f>
        <v>000092</v>
      </c>
      <c r="O23" s="10">
        <v>43350</v>
      </c>
      <c r="P23" s="11" t="str">
        <f>"000090"</f>
        <v>000090</v>
      </c>
      <c r="Q23" s="10">
        <v>43350</v>
      </c>
      <c r="R23" s="11">
        <v>18</v>
      </c>
      <c r="S23" s="11" t="str">
        <f>"006108"</f>
        <v>006108</v>
      </c>
      <c r="T23" s="10">
        <v>43376</v>
      </c>
      <c r="U23" s="14">
        <v>9.9668799999999997</v>
      </c>
      <c r="V23" s="14">
        <v>0.90698999999999996</v>
      </c>
      <c r="W23" s="14">
        <v>9.0598899999999993</v>
      </c>
      <c r="X23" s="11">
        <v>220</v>
      </c>
      <c r="Y23" s="10">
        <v>43377</v>
      </c>
      <c r="Z23" s="11">
        <v>9141546291</v>
      </c>
      <c r="AA23" s="12" t="s">
        <v>116</v>
      </c>
      <c r="AB23" s="11" t="s">
        <v>117</v>
      </c>
      <c r="AC23" s="12" t="s">
        <v>118</v>
      </c>
      <c r="AD23" s="11" t="s">
        <v>119</v>
      </c>
      <c r="AE23" s="12" t="s">
        <v>120</v>
      </c>
      <c r="AF23" s="14">
        <f t="shared" si="0"/>
        <v>9.9668800000000002E-2</v>
      </c>
      <c r="AG23" s="11" t="s">
        <v>121</v>
      </c>
    </row>
    <row r="24" spans="1:33" x14ac:dyDescent="0.2">
      <c r="A24" s="8">
        <v>5880</v>
      </c>
      <c r="B24" s="9" t="s">
        <v>113</v>
      </c>
      <c r="C24" s="10">
        <v>43383</v>
      </c>
      <c r="D24" s="11">
        <v>95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122</v>
      </c>
      <c r="J24" s="12" t="s">
        <v>123</v>
      </c>
      <c r="K24" s="13" t="s">
        <v>39</v>
      </c>
      <c r="L24" s="11" t="str">
        <f>"000014"</f>
        <v>000014</v>
      </c>
      <c r="M24" s="10">
        <v>42116</v>
      </c>
      <c r="N24" s="11" t="str">
        <f>"000065"</f>
        <v>000065</v>
      </c>
      <c r="O24" s="10">
        <v>43307</v>
      </c>
      <c r="P24" s="11" t="str">
        <f>"000065"</f>
        <v>000065</v>
      </c>
      <c r="Q24" s="10">
        <v>43307</v>
      </c>
      <c r="R24" s="11">
        <v>15</v>
      </c>
      <c r="S24" s="11" t="str">
        <f>"006203"</f>
        <v>006203</v>
      </c>
      <c r="T24" s="10">
        <v>43379</v>
      </c>
      <c r="U24" s="14">
        <v>19.978400000000001</v>
      </c>
      <c r="V24" s="14">
        <v>1.8180099999999999</v>
      </c>
      <c r="W24" s="14">
        <v>18.16039</v>
      </c>
      <c r="X24" s="11">
        <v>225</v>
      </c>
      <c r="Y24" s="10">
        <v>43383</v>
      </c>
      <c r="Z24" s="11">
        <v>9591058010</v>
      </c>
      <c r="AA24" s="12" t="s">
        <v>124</v>
      </c>
      <c r="AB24" s="11" t="s">
        <v>67</v>
      </c>
      <c r="AC24" s="12" t="s">
        <v>68</v>
      </c>
      <c r="AD24" s="11" t="s">
        <v>95</v>
      </c>
      <c r="AE24" s="12" t="s">
        <v>96</v>
      </c>
      <c r="AF24" s="14">
        <f t="shared" si="0"/>
        <v>0.19978400000000002</v>
      </c>
      <c r="AG24" s="11" t="s">
        <v>125</v>
      </c>
    </row>
    <row r="25" spans="1:33" x14ac:dyDescent="0.2">
      <c r="A25" s="8">
        <v>5881</v>
      </c>
      <c r="B25" s="9" t="s">
        <v>113</v>
      </c>
      <c r="C25" s="10">
        <v>43383</v>
      </c>
      <c r="D25" s="11">
        <v>95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126</v>
      </c>
      <c r="J25" s="12" t="s">
        <v>127</v>
      </c>
      <c r="K25" s="13" t="s">
        <v>50</v>
      </c>
      <c r="L25" s="11" t="str">
        <f>"000018"</f>
        <v>000018</v>
      </c>
      <c r="M25" s="10">
        <v>42116</v>
      </c>
      <c r="N25" s="11" t="str">
        <f>"000064"</f>
        <v>000064</v>
      </c>
      <c r="O25" s="10">
        <v>43307</v>
      </c>
      <c r="P25" s="11" t="str">
        <f>"000064"</f>
        <v>000064</v>
      </c>
      <c r="Q25" s="10">
        <v>43307</v>
      </c>
      <c r="R25" s="11">
        <v>15</v>
      </c>
      <c r="S25" s="11" t="str">
        <f>"006204"</f>
        <v>006204</v>
      </c>
      <c r="T25" s="10">
        <v>43379</v>
      </c>
      <c r="U25" s="14">
        <v>19.97739</v>
      </c>
      <c r="V25" s="14">
        <v>1.87921</v>
      </c>
      <c r="W25" s="14">
        <v>18.098179999999999</v>
      </c>
      <c r="X25" s="11">
        <v>225</v>
      </c>
      <c r="Y25" s="10">
        <v>43383</v>
      </c>
      <c r="Z25" s="11">
        <v>9591058010</v>
      </c>
      <c r="AA25" s="12" t="s">
        <v>124</v>
      </c>
      <c r="AB25" s="11" t="s">
        <v>67</v>
      </c>
      <c r="AC25" s="12" t="s">
        <v>68</v>
      </c>
      <c r="AD25" s="11" t="s">
        <v>95</v>
      </c>
      <c r="AE25" s="12" t="s">
        <v>96</v>
      </c>
      <c r="AF25" s="14">
        <f t="shared" si="0"/>
        <v>0.1997739</v>
      </c>
      <c r="AG25" s="11" t="s">
        <v>125</v>
      </c>
    </row>
    <row r="26" spans="1:33" x14ac:dyDescent="0.2">
      <c r="A26" s="8">
        <v>5882</v>
      </c>
      <c r="B26" s="9" t="s">
        <v>113</v>
      </c>
      <c r="C26" s="10">
        <v>43383</v>
      </c>
      <c r="D26" s="11">
        <v>95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122</v>
      </c>
      <c r="J26" s="12" t="s">
        <v>123</v>
      </c>
      <c r="K26" s="13" t="s">
        <v>39</v>
      </c>
      <c r="L26" s="11" t="str">
        <f>"000014"</f>
        <v>000014</v>
      </c>
      <c r="M26" s="10">
        <v>42116</v>
      </c>
      <c r="N26" s="11" t="str">
        <f>"000065"</f>
        <v>000065</v>
      </c>
      <c r="O26" s="10">
        <v>43307</v>
      </c>
      <c r="P26" s="11" t="str">
        <f>"000065"</f>
        <v>000065</v>
      </c>
      <c r="Q26" s="10">
        <v>43307</v>
      </c>
      <c r="R26" s="11">
        <v>15</v>
      </c>
      <c r="S26" s="11" t="str">
        <f>"006203"</f>
        <v>006203</v>
      </c>
      <c r="T26" s="10">
        <v>43379</v>
      </c>
      <c r="U26" s="14">
        <v>19.978400000000001</v>
      </c>
      <c r="V26" s="14">
        <v>1.8180099999999999</v>
      </c>
      <c r="W26" s="14">
        <v>18.16039</v>
      </c>
      <c r="X26" s="11">
        <v>225</v>
      </c>
      <c r="Y26" s="10">
        <v>43383</v>
      </c>
      <c r="Z26" s="11">
        <v>9591058010</v>
      </c>
      <c r="AA26" s="12" t="s">
        <v>124</v>
      </c>
      <c r="AB26" s="11" t="s">
        <v>67</v>
      </c>
      <c r="AC26" s="12" t="s">
        <v>68</v>
      </c>
      <c r="AD26" s="11" t="s">
        <v>95</v>
      </c>
      <c r="AE26" s="12" t="s">
        <v>96</v>
      </c>
      <c r="AF26" s="14">
        <f t="shared" si="0"/>
        <v>0.19978400000000002</v>
      </c>
      <c r="AG26" s="11" t="s">
        <v>125</v>
      </c>
    </row>
    <row r="27" spans="1:33" x14ac:dyDescent="0.2">
      <c r="A27" s="8">
        <v>5883</v>
      </c>
      <c r="B27" s="9" t="s">
        <v>113</v>
      </c>
      <c r="C27" s="10">
        <v>43383</v>
      </c>
      <c r="D27" s="11">
        <v>95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126</v>
      </c>
      <c r="J27" s="12" t="s">
        <v>127</v>
      </c>
      <c r="K27" s="13" t="s">
        <v>50</v>
      </c>
      <c r="L27" s="11" t="str">
        <f>"000018"</f>
        <v>000018</v>
      </c>
      <c r="M27" s="10">
        <v>42116</v>
      </c>
      <c r="N27" s="11" t="str">
        <f>"000064"</f>
        <v>000064</v>
      </c>
      <c r="O27" s="10">
        <v>43307</v>
      </c>
      <c r="P27" s="11" t="str">
        <f>"000064"</f>
        <v>000064</v>
      </c>
      <c r="Q27" s="10">
        <v>43307</v>
      </c>
      <c r="R27" s="11">
        <v>15</v>
      </c>
      <c r="S27" s="11" t="str">
        <f>"006204"</f>
        <v>006204</v>
      </c>
      <c r="T27" s="10">
        <v>43379</v>
      </c>
      <c r="U27" s="14">
        <v>19.97739</v>
      </c>
      <c r="V27" s="14">
        <v>1.87921</v>
      </c>
      <c r="W27" s="14">
        <v>18.098179999999999</v>
      </c>
      <c r="X27" s="11">
        <v>225</v>
      </c>
      <c r="Y27" s="10">
        <v>43383</v>
      </c>
      <c r="Z27" s="11">
        <v>9591058010</v>
      </c>
      <c r="AA27" s="12" t="s">
        <v>124</v>
      </c>
      <c r="AB27" s="11" t="s">
        <v>67</v>
      </c>
      <c r="AC27" s="12" t="s">
        <v>68</v>
      </c>
      <c r="AD27" s="11" t="s">
        <v>95</v>
      </c>
      <c r="AE27" s="12" t="s">
        <v>96</v>
      </c>
      <c r="AF27" s="14">
        <f t="shared" si="0"/>
        <v>0.1997739</v>
      </c>
      <c r="AG27" s="11" t="s">
        <v>125</v>
      </c>
    </row>
    <row r="28" spans="1:33" x14ac:dyDescent="0.2">
      <c r="A28" s="8">
        <v>6117</v>
      </c>
      <c r="B28" s="9" t="s">
        <v>113</v>
      </c>
      <c r="C28" s="10">
        <v>43385</v>
      </c>
      <c r="D28" s="11">
        <v>95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128</v>
      </c>
      <c r="J28" s="12" t="s">
        <v>129</v>
      </c>
      <c r="K28" s="13" t="s">
        <v>130</v>
      </c>
      <c r="L28" s="11" t="str">
        <f>"000087"</f>
        <v>000087</v>
      </c>
      <c r="M28" s="10">
        <v>43299</v>
      </c>
      <c r="N28" s="11" t="str">
        <f>"000061"</f>
        <v>000061</v>
      </c>
      <c r="O28" s="10">
        <v>43299</v>
      </c>
      <c r="P28" s="11" t="str">
        <f>"000084"</f>
        <v>000084</v>
      </c>
      <c r="Q28" s="10">
        <v>43299</v>
      </c>
      <c r="R28" s="11">
        <v>18</v>
      </c>
      <c r="S28" s="11" t="str">
        <f>"006366"</f>
        <v>006366</v>
      </c>
      <c r="T28" s="10">
        <v>43380</v>
      </c>
      <c r="U28" s="14">
        <v>110.94372</v>
      </c>
      <c r="V28" s="14">
        <v>10.986890000000001</v>
      </c>
      <c r="W28" s="14">
        <v>99.956829999999997</v>
      </c>
      <c r="X28" s="11">
        <v>233</v>
      </c>
      <c r="Y28" s="10">
        <v>43385</v>
      </c>
      <c r="Z28" s="11">
        <v>9483161122</v>
      </c>
      <c r="AA28" s="12" t="s">
        <v>131</v>
      </c>
      <c r="AB28" s="11" t="s">
        <v>132</v>
      </c>
      <c r="AC28" s="12" t="s">
        <v>133</v>
      </c>
      <c r="AD28" s="11" t="s">
        <v>43</v>
      </c>
      <c r="AE28" s="12" t="s">
        <v>134</v>
      </c>
      <c r="AF28" s="14">
        <f t="shared" si="0"/>
        <v>1.1094371999999999</v>
      </c>
      <c r="AG28" s="11" t="s">
        <v>121</v>
      </c>
    </row>
    <row r="29" spans="1:33" x14ac:dyDescent="0.2">
      <c r="A29" s="8">
        <v>6563</v>
      </c>
      <c r="B29" s="9" t="s">
        <v>113</v>
      </c>
      <c r="C29" s="10">
        <v>43389</v>
      </c>
      <c r="D29" s="11">
        <v>95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135</v>
      </c>
      <c r="J29" s="12" t="s">
        <v>136</v>
      </c>
      <c r="K29" s="13" t="s">
        <v>137</v>
      </c>
      <c r="L29" s="11" t="str">
        <f>"000135"</f>
        <v>000135</v>
      </c>
      <c r="M29" s="10">
        <v>42699</v>
      </c>
      <c r="N29" s="11" t="str">
        <f>"000075"</f>
        <v>000075</v>
      </c>
      <c r="O29" s="10">
        <v>42916</v>
      </c>
      <c r="P29" s="11" t="str">
        <f>"000378"</f>
        <v>000378</v>
      </c>
      <c r="Q29" s="10">
        <v>42916</v>
      </c>
      <c r="R29" s="11">
        <v>16</v>
      </c>
      <c r="S29" s="11" t="str">
        <f>"006454"</f>
        <v>006454</v>
      </c>
      <c r="T29" s="10">
        <v>43382</v>
      </c>
      <c r="U29" s="14">
        <v>19.98884</v>
      </c>
      <c r="V29" s="14">
        <v>2.75204</v>
      </c>
      <c r="W29" s="14">
        <v>17.236799999999999</v>
      </c>
      <c r="X29" s="11">
        <v>241</v>
      </c>
      <c r="Y29" s="10">
        <v>43389</v>
      </c>
      <c r="Z29" s="11">
        <v>9483161122</v>
      </c>
      <c r="AA29" s="12" t="s">
        <v>40</v>
      </c>
      <c r="AB29" s="11" t="s">
        <v>87</v>
      </c>
      <c r="AC29" s="12" t="s">
        <v>88</v>
      </c>
      <c r="AD29" s="11" t="s">
        <v>43</v>
      </c>
      <c r="AE29" s="12" t="s">
        <v>134</v>
      </c>
      <c r="AF29" s="14">
        <f t="shared" si="0"/>
        <v>0.19988839999999999</v>
      </c>
      <c r="AG29" s="11" t="s">
        <v>45</v>
      </c>
    </row>
    <row r="30" spans="1:33" x14ac:dyDescent="0.2">
      <c r="A30" s="8">
        <v>6564</v>
      </c>
      <c r="B30" s="9" t="s">
        <v>113</v>
      </c>
      <c r="C30" s="10">
        <v>43389</v>
      </c>
      <c r="D30" s="11">
        <v>95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138</v>
      </c>
      <c r="J30" s="12" t="s">
        <v>139</v>
      </c>
      <c r="K30" s="13" t="s">
        <v>140</v>
      </c>
      <c r="L30" s="11" t="str">
        <f>"000037"</f>
        <v>000037</v>
      </c>
      <c r="M30" s="10">
        <v>43106</v>
      </c>
      <c r="N30" s="11" t="str">
        <f>"000028"</f>
        <v>000028</v>
      </c>
      <c r="O30" s="10">
        <v>43106</v>
      </c>
      <c r="P30" s="11" t="str">
        <f>"000036"</f>
        <v>000036</v>
      </c>
      <c r="Q30" s="10">
        <v>43106</v>
      </c>
      <c r="R30" s="11">
        <v>18</v>
      </c>
      <c r="S30" s="11" t="str">
        <f>"006456"</f>
        <v>006456</v>
      </c>
      <c r="T30" s="10">
        <v>43382</v>
      </c>
      <c r="U30" s="14">
        <v>9.9087899999999998</v>
      </c>
      <c r="V30" s="14">
        <v>1.26318</v>
      </c>
      <c r="W30" s="14">
        <v>8.6456099999999996</v>
      </c>
      <c r="X30" s="11">
        <v>241</v>
      </c>
      <c r="Y30" s="10">
        <v>43389</v>
      </c>
      <c r="Z30" s="11">
        <v>9483161122</v>
      </c>
      <c r="AA30" s="12" t="s">
        <v>40</v>
      </c>
      <c r="AB30" s="11" t="s">
        <v>141</v>
      </c>
      <c r="AC30" s="12" t="s">
        <v>142</v>
      </c>
      <c r="AD30" s="11" t="s">
        <v>43</v>
      </c>
      <c r="AE30" s="12" t="s">
        <v>134</v>
      </c>
      <c r="AF30" s="14">
        <f t="shared" si="0"/>
        <v>9.9087899999999993E-2</v>
      </c>
      <c r="AG30" s="11" t="s">
        <v>45</v>
      </c>
    </row>
    <row r="31" spans="1:33" x14ac:dyDescent="0.2">
      <c r="A31" s="8">
        <v>7639</v>
      </c>
      <c r="B31" s="9" t="s">
        <v>143</v>
      </c>
      <c r="C31" s="10">
        <v>43438</v>
      </c>
      <c r="D31" s="11">
        <v>95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144</v>
      </c>
      <c r="J31" s="12" t="s">
        <v>145</v>
      </c>
      <c r="K31" s="13" t="s">
        <v>146</v>
      </c>
      <c r="L31" s="11" t="str">
        <f>"000020"</f>
        <v>000020</v>
      </c>
      <c r="M31" s="10">
        <v>42116</v>
      </c>
      <c r="N31" s="11" t="str">
        <f>"000066"</f>
        <v>000066</v>
      </c>
      <c r="O31" s="10">
        <v>43307</v>
      </c>
      <c r="P31" s="11" t="str">
        <f>"000066"</f>
        <v>000066</v>
      </c>
      <c r="Q31" s="10">
        <v>43307</v>
      </c>
      <c r="R31" s="11">
        <v>15</v>
      </c>
      <c r="S31" s="11" t="str">
        <f>"007650"</f>
        <v>007650</v>
      </c>
      <c r="T31" s="10">
        <v>43433</v>
      </c>
      <c r="U31" s="14">
        <v>24.99183</v>
      </c>
      <c r="V31" s="14">
        <v>2.0856400000000002</v>
      </c>
      <c r="W31" s="14">
        <v>22.906189999999999</v>
      </c>
      <c r="X31" s="11">
        <v>285</v>
      </c>
      <c r="Y31" s="10">
        <v>43438</v>
      </c>
      <c r="Z31" s="11">
        <v>9591058010</v>
      </c>
      <c r="AA31" s="12" t="s">
        <v>124</v>
      </c>
      <c r="AB31" s="11" t="s">
        <v>67</v>
      </c>
      <c r="AC31" s="12" t="s">
        <v>68</v>
      </c>
      <c r="AD31" s="11" t="s">
        <v>95</v>
      </c>
      <c r="AE31" s="12" t="s">
        <v>96</v>
      </c>
      <c r="AF31" s="14">
        <f t="shared" si="0"/>
        <v>0.24991830000000001</v>
      </c>
      <c r="AG31" s="11" t="s">
        <v>125</v>
      </c>
    </row>
    <row r="32" spans="1:33" x14ac:dyDescent="0.2">
      <c r="A32" s="8">
        <v>7745</v>
      </c>
      <c r="B32" s="9" t="s">
        <v>143</v>
      </c>
      <c r="C32" s="10">
        <v>43448</v>
      </c>
      <c r="D32" s="11">
        <v>95</v>
      </c>
      <c r="E32" s="12" t="s">
        <v>34</v>
      </c>
      <c r="F32" s="12" t="s">
        <v>35</v>
      </c>
      <c r="G32" s="12" t="s">
        <v>35</v>
      </c>
      <c r="H32" s="12" t="s">
        <v>36</v>
      </c>
      <c r="I32" s="11" t="s">
        <v>147</v>
      </c>
      <c r="J32" s="12" t="s">
        <v>148</v>
      </c>
      <c r="K32" s="13" t="s">
        <v>137</v>
      </c>
      <c r="L32" s="11" t="str">
        <f>"000085"</f>
        <v>000085</v>
      </c>
      <c r="M32" s="10">
        <v>41884</v>
      </c>
      <c r="N32" s="11" t="str">
        <f>"000207"</f>
        <v>000207</v>
      </c>
      <c r="O32" s="10">
        <v>42762</v>
      </c>
      <c r="P32" s="11" t="str">
        <f>"000483"</f>
        <v>000483</v>
      </c>
      <c r="Q32" s="10">
        <v>42762</v>
      </c>
      <c r="R32" s="11">
        <v>14</v>
      </c>
      <c r="S32" s="11" t="str">
        <f>"007860"</f>
        <v>007860</v>
      </c>
      <c r="T32" s="10">
        <v>43444</v>
      </c>
      <c r="U32" s="14">
        <v>4.1883400000000002</v>
      </c>
      <c r="V32" s="14">
        <v>0.91122999999999998</v>
      </c>
      <c r="W32" s="14">
        <v>3.27711</v>
      </c>
      <c r="X32" s="11">
        <v>291</v>
      </c>
      <c r="Y32" s="10">
        <v>43448</v>
      </c>
      <c r="Z32" s="11">
        <v>9483161122</v>
      </c>
      <c r="AA32" s="12" t="s">
        <v>40</v>
      </c>
      <c r="AB32" s="11" t="s">
        <v>52</v>
      </c>
      <c r="AC32" s="12" t="s">
        <v>53</v>
      </c>
      <c r="AD32" s="11" t="s">
        <v>43</v>
      </c>
      <c r="AE32" s="12" t="s">
        <v>134</v>
      </c>
      <c r="AF32" s="14">
        <f t="shared" si="0"/>
        <v>4.1883400000000001E-2</v>
      </c>
      <c r="AG32" s="11" t="s">
        <v>45</v>
      </c>
    </row>
    <row r="33" spans="1:33" x14ac:dyDescent="0.2">
      <c r="A33" s="8">
        <v>8021</v>
      </c>
      <c r="B33" s="9" t="s">
        <v>143</v>
      </c>
      <c r="C33" s="10">
        <v>43455</v>
      </c>
      <c r="D33" s="11">
        <v>95</v>
      </c>
      <c r="E33" s="12" t="s">
        <v>34</v>
      </c>
      <c r="F33" s="12" t="s">
        <v>35</v>
      </c>
      <c r="G33" s="12" t="s">
        <v>35</v>
      </c>
      <c r="H33" s="12" t="s">
        <v>36</v>
      </c>
      <c r="I33" s="11" t="s">
        <v>149</v>
      </c>
      <c r="J33" s="12" t="s">
        <v>150</v>
      </c>
      <c r="K33" s="13" t="s">
        <v>130</v>
      </c>
      <c r="L33" s="11" t="str">
        <f>"000223"</f>
        <v>000223</v>
      </c>
      <c r="M33" s="10">
        <v>42849</v>
      </c>
      <c r="N33" s="11" t="str">
        <f>"000002"</f>
        <v>000002</v>
      </c>
      <c r="O33" s="10">
        <v>42895</v>
      </c>
      <c r="P33" s="11" t="str">
        <f>"000207"</f>
        <v>000207</v>
      </c>
      <c r="Q33" s="10">
        <v>42895</v>
      </c>
      <c r="R33" s="11">
        <v>17</v>
      </c>
      <c r="S33" s="11" t="str">
        <f>"008121"</f>
        <v>008121</v>
      </c>
      <c r="T33" s="10">
        <v>43454</v>
      </c>
      <c r="U33" s="14">
        <v>16.95392</v>
      </c>
      <c r="V33" s="14">
        <v>2.2739699999999998</v>
      </c>
      <c r="W33" s="14">
        <v>14.67995</v>
      </c>
      <c r="X33" s="11">
        <v>301</v>
      </c>
      <c r="Y33" s="10">
        <v>43455</v>
      </c>
      <c r="Z33" s="11">
        <v>9945417770</v>
      </c>
      <c r="AA33" s="12" t="s">
        <v>151</v>
      </c>
      <c r="AB33" s="11" t="s">
        <v>52</v>
      </c>
      <c r="AC33" s="12" t="s">
        <v>53</v>
      </c>
      <c r="AD33" s="11" t="s">
        <v>43</v>
      </c>
      <c r="AE33" s="12" t="s">
        <v>134</v>
      </c>
      <c r="AF33" s="14">
        <f t="shared" si="0"/>
        <v>0.1695392</v>
      </c>
      <c r="AG33" s="11" t="s">
        <v>45</v>
      </c>
    </row>
    <row r="34" spans="1:33" x14ac:dyDescent="0.2">
      <c r="A34" s="8">
        <v>8022</v>
      </c>
      <c r="B34" s="9" t="s">
        <v>143</v>
      </c>
      <c r="C34" s="10">
        <v>43455</v>
      </c>
      <c r="D34" s="11">
        <v>95</v>
      </c>
      <c r="E34" s="12" t="s">
        <v>34</v>
      </c>
      <c r="F34" s="12" t="s">
        <v>35</v>
      </c>
      <c r="G34" s="12" t="s">
        <v>35</v>
      </c>
      <c r="H34" s="12" t="s">
        <v>36</v>
      </c>
      <c r="I34" s="11" t="s">
        <v>152</v>
      </c>
      <c r="J34" s="12" t="s">
        <v>153</v>
      </c>
      <c r="K34" s="13" t="s">
        <v>39</v>
      </c>
      <c r="L34" s="11" t="str">
        <f>"000218"</f>
        <v>000218</v>
      </c>
      <c r="M34" s="10">
        <v>42849</v>
      </c>
      <c r="N34" s="11" t="str">
        <f>"000001"</f>
        <v>000001</v>
      </c>
      <c r="O34" s="10">
        <v>42895</v>
      </c>
      <c r="P34" s="11" t="str">
        <f>"000208"</f>
        <v>000208</v>
      </c>
      <c r="Q34" s="10">
        <v>42895</v>
      </c>
      <c r="R34" s="11">
        <v>17</v>
      </c>
      <c r="S34" s="11" t="str">
        <f>"008123"</f>
        <v>008123</v>
      </c>
      <c r="T34" s="10">
        <v>43454</v>
      </c>
      <c r="U34" s="14">
        <v>16.974689999999999</v>
      </c>
      <c r="V34" s="14">
        <v>2.2812000000000001</v>
      </c>
      <c r="W34" s="14">
        <v>14.693490000000001</v>
      </c>
      <c r="X34" s="11">
        <v>301</v>
      </c>
      <c r="Y34" s="10">
        <v>43455</v>
      </c>
      <c r="Z34" s="11">
        <v>9945417770</v>
      </c>
      <c r="AA34" s="12" t="s">
        <v>151</v>
      </c>
      <c r="AB34" s="11" t="s">
        <v>52</v>
      </c>
      <c r="AC34" s="12" t="s">
        <v>53</v>
      </c>
      <c r="AD34" s="11" t="s">
        <v>43</v>
      </c>
      <c r="AE34" s="12" t="s">
        <v>134</v>
      </c>
      <c r="AF34" s="14">
        <f t="shared" si="0"/>
        <v>0.16974689999999998</v>
      </c>
      <c r="AG34" s="11" t="s">
        <v>45</v>
      </c>
    </row>
    <row r="35" spans="1:33" x14ac:dyDescent="0.2">
      <c r="A35" s="8">
        <v>8589</v>
      </c>
      <c r="B35" s="9" t="s">
        <v>154</v>
      </c>
      <c r="C35" s="10">
        <v>43481</v>
      </c>
      <c r="D35" s="11">
        <v>95</v>
      </c>
      <c r="E35" s="12" t="s">
        <v>34</v>
      </c>
      <c r="F35" s="12" t="s">
        <v>35</v>
      </c>
      <c r="G35" s="12" t="s">
        <v>35</v>
      </c>
      <c r="H35" s="12" t="s">
        <v>36</v>
      </c>
      <c r="I35" s="11" t="s">
        <v>155</v>
      </c>
      <c r="J35" s="12" t="s">
        <v>156</v>
      </c>
      <c r="K35" s="13" t="s">
        <v>91</v>
      </c>
      <c r="L35" s="11" t="str">
        <f>"000186"</f>
        <v>000186</v>
      </c>
      <c r="M35" s="10">
        <v>43435</v>
      </c>
      <c r="N35" s="11" t="str">
        <f>"000145"</f>
        <v>000145</v>
      </c>
      <c r="O35" s="10">
        <v>43435</v>
      </c>
      <c r="P35" s="11" t="str">
        <f>"000197"</f>
        <v>000197</v>
      </c>
      <c r="Q35" s="10">
        <v>43435</v>
      </c>
      <c r="R35" s="11"/>
      <c r="S35" s="11" t="str">
        <f>"008701"</f>
        <v>008701</v>
      </c>
      <c r="T35" s="10">
        <v>43477</v>
      </c>
      <c r="U35" s="14">
        <v>9.9816299999999991</v>
      </c>
      <c r="V35" s="14">
        <v>1.3954500000000001</v>
      </c>
      <c r="W35" s="14">
        <v>8.5861800000000006</v>
      </c>
      <c r="X35" s="11">
        <v>324</v>
      </c>
      <c r="Y35" s="10">
        <v>43481</v>
      </c>
      <c r="Z35" s="11">
        <v>9483161122</v>
      </c>
      <c r="AA35" s="12" t="s">
        <v>131</v>
      </c>
      <c r="AB35" s="11" t="s">
        <v>157</v>
      </c>
      <c r="AC35" s="12" t="s">
        <v>158</v>
      </c>
      <c r="AD35" s="11" t="s">
        <v>43</v>
      </c>
      <c r="AE35" s="12" t="s">
        <v>134</v>
      </c>
      <c r="AF35" s="14">
        <f t="shared" si="0"/>
        <v>9.9816299999999997E-2</v>
      </c>
      <c r="AG35" s="11" t="s">
        <v>121</v>
      </c>
    </row>
    <row r="36" spans="1:33" x14ac:dyDescent="0.2">
      <c r="A36" s="8">
        <v>8847</v>
      </c>
      <c r="B36" s="9" t="s">
        <v>159</v>
      </c>
      <c r="C36" s="10">
        <v>43497</v>
      </c>
      <c r="D36" s="11">
        <v>95</v>
      </c>
      <c r="E36" s="12" t="s">
        <v>34</v>
      </c>
      <c r="F36" s="12" t="s">
        <v>35</v>
      </c>
      <c r="G36" s="12" t="s">
        <v>35</v>
      </c>
      <c r="H36" s="12" t="s">
        <v>36</v>
      </c>
      <c r="I36" s="11" t="s">
        <v>160</v>
      </c>
      <c r="J36" s="12" t="s">
        <v>161</v>
      </c>
      <c r="K36" s="13" t="s">
        <v>140</v>
      </c>
      <c r="L36" s="11" t="str">
        <f>"000016"</f>
        <v>000016</v>
      </c>
      <c r="M36" s="10">
        <v>43210</v>
      </c>
      <c r="N36" s="11" t="str">
        <f>"000018"</f>
        <v>000018</v>
      </c>
      <c r="O36" s="10">
        <v>43210</v>
      </c>
      <c r="P36" s="11" t="str">
        <f>"000016"</f>
        <v>000016</v>
      </c>
      <c r="Q36" s="10">
        <v>43210</v>
      </c>
      <c r="R36" s="11"/>
      <c r="S36" s="11" t="str">
        <f>"008522"</f>
        <v>008522</v>
      </c>
      <c r="T36" s="10">
        <v>43469</v>
      </c>
      <c r="U36" s="14">
        <v>14.84324</v>
      </c>
      <c r="V36" s="14">
        <v>1.60338</v>
      </c>
      <c r="W36" s="14">
        <v>13.23986</v>
      </c>
      <c r="X36" s="11">
        <v>336</v>
      </c>
      <c r="Y36" s="10">
        <v>43497</v>
      </c>
      <c r="Z36" s="11">
        <v>9483161122</v>
      </c>
      <c r="AA36" s="12" t="s">
        <v>40</v>
      </c>
      <c r="AB36" s="11" t="s">
        <v>141</v>
      </c>
      <c r="AC36" s="12" t="s">
        <v>142</v>
      </c>
      <c r="AD36" s="11" t="s">
        <v>43</v>
      </c>
      <c r="AE36" s="12" t="s">
        <v>134</v>
      </c>
      <c r="AF36" s="14">
        <f t="shared" si="0"/>
        <v>0.14843239999999999</v>
      </c>
      <c r="AG36" s="11" t="s">
        <v>121</v>
      </c>
    </row>
    <row r="37" spans="1:33" x14ac:dyDescent="0.2">
      <c r="A37" s="8">
        <v>8848</v>
      </c>
      <c r="B37" s="9" t="s">
        <v>159</v>
      </c>
      <c r="C37" s="10">
        <v>43497</v>
      </c>
      <c r="D37" s="11">
        <v>95</v>
      </c>
      <c r="E37" s="12" t="s">
        <v>34</v>
      </c>
      <c r="F37" s="12" t="s">
        <v>35</v>
      </c>
      <c r="G37" s="12" t="s">
        <v>35</v>
      </c>
      <c r="H37" s="12" t="s">
        <v>36</v>
      </c>
      <c r="I37" s="11" t="s">
        <v>162</v>
      </c>
      <c r="J37" s="12" t="s">
        <v>163</v>
      </c>
      <c r="K37" s="13" t="s">
        <v>140</v>
      </c>
      <c r="L37" s="11" t="str">
        <f>"000017"</f>
        <v>000017</v>
      </c>
      <c r="M37" s="10">
        <v>43210</v>
      </c>
      <c r="N37" s="11" t="str">
        <f>"000017"</f>
        <v>000017</v>
      </c>
      <c r="O37" s="10">
        <v>43210</v>
      </c>
      <c r="P37" s="11" t="str">
        <f>"000017"</f>
        <v>000017</v>
      </c>
      <c r="Q37" s="10">
        <v>43210</v>
      </c>
      <c r="R37" s="11"/>
      <c r="S37" s="11" t="str">
        <f>"008523"</f>
        <v>008523</v>
      </c>
      <c r="T37" s="10">
        <v>43469</v>
      </c>
      <c r="U37" s="14">
        <v>14.76576</v>
      </c>
      <c r="V37" s="14">
        <v>1.59518</v>
      </c>
      <c r="W37" s="14">
        <v>13.170579999999999</v>
      </c>
      <c r="X37" s="11">
        <v>336</v>
      </c>
      <c r="Y37" s="10">
        <v>43497</v>
      </c>
      <c r="Z37" s="11">
        <v>9483161122</v>
      </c>
      <c r="AA37" s="12" t="s">
        <v>40</v>
      </c>
      <c r="AB37" s="11" t="s">
        <v>141</v>
      </c>
      <c r="AC37" s="12" t="s">
        <v>142</v>
      </c>
      <c r="AD37" s="11" t="s">
        <v>43</v>
      </c>
      <c r="AE37" s="12" t="s">
        <v>134</v>
      </c>
      <c r="AF37" s="14">
        <f t="shared" si="0"/>
        <v>0.1476576</v>
      </c>
      <c r="AG37" s="11" t="s">
        <v>121</v>
      </c>
    </row>
    <row r="38" spans="1:33" x14ac:dyDescent="0.2">
      <c r="A38" s="8">
        <v>8849</v>
      </c>
      <c r="B38" s="9" t="s">
        <v>159</v>
      </c>
      <c r="C38" s="10">
        <v>43497</v>
      </c>
      <c r="D38" s="11">
        <v>95</v>
      </c>
      <c r="E38" s="12" t="s">
        <v>34</v>
      </c>
      <c r="F38" s="12" t="s">
        <v>35</v>
      </c>
      <c r="G38" s="12" t="s">
        <v>35</v>
      </c>
      <c r="H38" s="12" t="s">
        <v>36</v>
      </c>
      <c r="I38" s="11" t="s">
        <v>164</v>
      </c>
      <c r="J38" s="12" t="s">
        <v>165</v>
      </c>
      <c r="K38" s="13" t="s">
        <v>140</v>
      </c>
      <c r="L38" s="11" t="str">
        <f>"000018"</f>
        <v>000018</v>
      </c>
      <c r="M38" s="10">
        <v>43210</v>
      </c>
      <c r="N38" s="11" t="str">
        <f>"000016"</f>
        <v>000016</v>
      </c>
      <c r="O38" s="10">
        <v>43210</v>
      </c>
      <c r="P38" s="11" t="str">
        <f>"000018"</f>
        <v>000018</v>
      </c>
      <c r="Q38" s="10">
        <v>43210</v>
      </c>
      <c r="R38" s="11"/>
      <c r="S38" s="11" t="str">
        <f>"008526"</f>
        <v>008526</v>
      </c>
      <c r="T38" s="10">
        <v>43469</v>
      </c>
      <c r="U38" s="14">
        <v>14.863519999999999</v>
      </c>
      <c r="V38" s="14">
        <v>1.6052599999999999</v>
      </c>
      <c r="W38" s="14">
        <v>13.25826</v>
      </c>
      <c r="X38" s="11">
        <v>336</v>
      </c>
      <c r="Y38" s="10">
        <v>43497</v>
      </c>
      <c r="Z38" s="11">
        <v>9483161122</v>
      </c>
      <c r="AA38" s="12" t="s">
        <v>40</v>
      </c>
      <c r="AB38" s="11" t="s">
        <v>141</v>
      </c>
      <c r="AC38" s="12" t="s">
        <v>142</v>
      </c>
      <c r="AD38" s="11" t="s">
        <v>43</v>
      </c>
      <c r="AE38" s="12" t="s">
        <v>134</v>
      </c>
      <c r="AF38" s="14">
        <f t="shared" si="0"/>
        <v>0.1486352</v>
      </c>
      <c r="AG38" s="11" t="s">
        <v>121</v>
      </c>
    </row>
    <row r="39" spans="1:33" x14ac:dyDescent="0.2">
      <c r="A39" s="8">
        <v>8850</v>
      </c>
      <c r="B39" s="9" t="s">
        <v>159</v>
      </c>
      <c r="C39" s="10">
        <v>43497</v>
      </c>
      <c r="D39" s="11">
        <v>95</v>
      </c>
      <c r="E39" s="12" t="s">
        <v>34</v>
      </c>
      <c r="F39" s="12" t="s">
        <v>35</v>
      </c>
      <c r="G39" s="12" t="s">
        <v>35</v>
      </c>
      <c r="H39" s="12" t="s">
        <v>36</v>
      </c>
      <c r="I39" s="11" t="s">
        <v>166</v>
      </c>
      <c r="J39" s="12" t="s">
        <v>167</v>
      </c>
      <c r="K39" s="13" t="s">
        <v>140</v>
      </c>
      <c r="L39" s="11" t="str">
        <f>"000019"</f>
        <v>000019</v>
      </c>
      <c r="M39" s="10">
        <v>43210</v>
      </c>
      <c r="N39" s="11" t="str">
        <f>"000015"</f>
        <v>000015</v>
      </c>
      <c r="O39" s="10">
        <v>43210</v>
      </c>
      <c r="P39" s="11" t="str">
        <f>"000019"</f>
        <v>000019</v>
      </c>
      <c r="Q39" s="10">
        <v>43210</v>
      </c>
      <c r="R39" s="11"/>
      <c r="S39" s="11" t="str">
        <f>"008527"</f>
        <v>008527</v>
      </c>
      <c r="T39" s="10">
        <v>43469</v>
      </c>
      <c r="U39" s="14">
        <v>14.862349999999999</v>
      </c>
      <c r="V39" s="14">
        <v>1.6054299999999999</v>
      </c>
      <c r="W39" s="14">
        <v>13.256919999999999</v>
      </c>
      <c r="X39" s="11">
        <v>336</v>
      </c>
      <c r="Y39" s="10">
        <v>43497</v>
      </c>
      <c r="Z39" s="11">
        <v>9483161122</v>
      </c>
      <c r="AA39" s="12" t="s">
        <v>40</v>
      </c>
      <c r="AB39" s="11" t="s">
        <v>141</v>
      </c>
      <c r="AC39" s="12" t="s">
        <v>142</v>
      </c>
      <c r="AD39" s="11" t="s">
        <v>43</v>
      </c>
      <c r="AE39" s="12" t="s">
        <v>134</v>
      </c>
      <c r="AF39" s="14">
        <f t="shared" si="0"/>
        <v>0.14862349999999999</v>
      </c>
      <c r="AG39" s="11" t="s">
        <v>121</v>
      </c>
    </row>
    <row r="40" spans="1:33" x14ac:dyDescent="0.2">
      <c r="A40" s="8">
        <v>8851</v>
      </c>
      <c r="B40" s="9" t="s">
        <v>159</v>
      </c>
      <c r="C40" s="10">
        <v>43497</v>
      </c>
      <c r="D40" s="11">
        <v>95</v>
      </c>
      <c r="E40" s="12" t="s">
        <v>34</v>
      </c>
      <c r="F40" s="12" t="s">
        <v>35</v>
      </c>
      <c r="G40" s="12" t="s">
        <v>35</v>
      </c>
      <c r="H40" s="12" t="s">
        <v>36</v>
      </c>
      <c r="I40" s="11" t="s">
        <v>168</v>
      </c>
      <c r="J40" s="12" t="s">
        <v>169</v>
      </c>
      <c r="K40" s="13" t="s">
        <v>140</v>
      </c>
      <c r="L40" s="11" t="str">
        <f>"000020"</f>
        <v>000020</v>
      </c>
      <c r="M40" s="10">
        <v>43210</v>
      </c>
      <c r="N40" s="11" t="str">
        <f>"000014"</f>
        <v>000014</v>
      </c>
      <c r="O40" s="10">
        <v>43210</v>
      </c>
      <c r="P40" s="11" t="str">
        <f>"000020"</f>
        <v>000020</v>
      </c>
      <c r="Q40" s="10">
        <v>43210</v>
      </c>
      <c r="R40" s="11"/>
      <c r="S40" s="11" t="str">
        <f>"008528"</f>
        <v>008528</v>
      </c>
      <c r="T40" s="10">
        <v>43469</v>
      </c>
      <c r="U40" s="14">
        <v>14.859870000000001</v>
      </c>
      <c r="V40" s="14">
        <v>1.60514</v>
      </c>
      <c r="W40" s="14">
        <v>13.25473</v>
      </c>
      <c r="X40" s="11">
        <v>336</v>
      </c>
      <c r="Y40" s="10">
        <v>43497</v>
      </c>
      <c r="Z40" s="11">
        <v>9483161122</v>
      </c>
      <c r="AA40" s="12" t="s">
        <v>40</v>
      </c>
      <c r="AB40" s="11" t="s">
        <v>141</v>
      </c>
      <c r="AC40" s="12" t="s">
        <v>142</v>
      </c>
      <c r="AD40" s="11" t="s">
        <v>43</v>
      </c>
      <c r="AE40" s="12" t="s">
        <v>134</v>
      </c>
      <c r="AF40" s="14">
        <f t="shared" si="0"/>
        <v>0.1485987</v>
      </c>
      <c r="AG40" s="11" t="s">
        <v>121</v>
      </c>
    </row>
    <row r="41" spans="1:33" x14ac:dyDescent="0.2">
      <c r="A41" s="8">
        <v>8852</v>
      </c>
      <c r="B41" s="9" t="s">
        <v>159</v>
      </c>
      <c r="C41" s="10">
        <v>43497</v>
      </c>
      <c r="D41" s="11">
        <v>95</v>
      </c>
      <c r="E41" s="12" t="s">
        <v>34</v>
      </c>
      <c r="F41" s="12" t="s">
        <v>35</v>
      </c>
      <c r="G41" s="12" t="s">
        <v>35</v>
      </c>
      <c r="H41" s="12" t="s">
        <v>36</v>
      </c>
      <c r="I41" s="11" t="s">
        <v>170</v>
      </c>
      <c r="J41" s="12" t="s">
        <v>171</v>
      </c>
      <c r="K41" s="13" t="s">
        <v>140</v>
      </c>
      <c r="L41" s="11" t="str">
        <f>"000021"</f>
        <v>000021</v>
      </c>
      <c r="M41" s="10">
        <v>43210</v>
      </c>
      <c r="N41" s="11" t="str">
        <f>"000013"</f>
        <v>000013</v>
      </c>
      <c r="O41" s="10">
        <v>43210</v>
      </c>
      <c r="P41" s="11" t="str">
        <f>"000021"</f>
        <v>000021</v>
      </c>
      <c r="Q41" s="10">
        <v>43210</v>
      </c>
      <c r="R41" s="11"/>
      <c r="S41" s="11" t="str">
        <f>"008529"</f>
        <v>008529</v>
      </c>
      <c r="T41" s="10">
        <v>43469</v>
      </c>
      <c r="U41" s="14">
        <v>14.85914</v>
      </c>
      <c r="V41" s="14">
        <v>1.60507</v>
      </c>
      <c r="W41" s="14">
        <v>13.25407</v>
      </c>
      <c r="X41" s="11">
        <v>336</v>
      </c>
      <c r="Y41" s="10">
        <v>43497</v>
      </c>
      <c r="Z41" s="11">
        <v>9483161122</v>
      </c>
      <c r="AA41" s="12" t="s">
        <v>40</v>
      </c>
      <c r="AB41" s="11" t="s">
        <v>141</v>
      </c>
      <c r="AC41" s="12" t="s">
        <v>142</v>
      </c>
      <c r="AD41" s="11" t="s">
        <v>43</v>
      </c>
      <c r="AE41" s="12" t="s">
        <v>134</v>
      </c>
      <c r="AF41" s="14">
        <f t="shared" si="0"/>
        <v>0.14859140000000001</v>
      </c>
      <c r="AG41" s="11" t="s">
        <v>121</v>
      </c>
    </row>
    <row r="42" spans="1:33" x14ac:dyDescent="0.2">
      <c r="A42" s="8">
        <v>9221</v>
      </c>
      <c r="B42" s="9" t="s">
        <v>159</v>
      </c>
      <c r="C42" s="10">
        <v>43516</v>
      </c>
      <c r="D42" s="11">
        <v>95</v>
      </c>
      <c r="E42" s="12" t="s">
        <v>34</v>
      </c>
      <c r="F42" s="12" t="s">
        <v>35</v>
      </c>
      <c r="G42" s="12" t="s">
        <v>35</v>
      </c>
      <c r="H42" s="12" t="s">
        <v>36</v>
      </c>
      <c r="I42" s="11" t="s">
        <v>172</v>
      </c>
      <c r="J42" s="12" t="s">
        <v>173</v>
      </c>
      <c r="K42" s="13" t="s">
        <v>130</v>
      </c>
      <c r="L42" s="11" t="str">
        <f>"000260"</f>
        <v>000260</v>
      </c>
      <c r="M42" s="10">
        <v>43509</v>
      </c>
      <c r="N42" s="11" t="str">
        <f>"000177"</f>
        <v>000177</v>
      </c>
      <c r="O42" s="10">
        <v>43511</v>
      </c>
      <c r="P42" s="11" t="str">
        <f>"000253"</f>
        <v>000253</v>
      </c>
      <c r="Q42" s="10">
        <v>43511</v>
      </c>
      <c r="R42" s="11"/>
      <c r="S42" s="11" t="str">
        <f>"009294"</f>
        <v>009294</v>
      </c>
      <c r="T42" s="10">
        <v>43516</v>
      </c>
      <c r="U42" s="14">
        <v>109.86153</v>
      </c>
      <c r="V42" s="14">
        <v>13.1038</v>
      </c>
      <c r="W42" s="14">
        <v>96.757729999999995</v>
      </c>
      <c r="X42" s="11">
        <v>354</v>
      </c>
      <c r="Y42" s="10">
        <v>43516</v>
      </c>
      <c r="Z42" s="11">
        <v>9483161122</v>
      </c>
      <c r="AA42" s="12" t="s">
        <v>131</v>
      </c>
      <c r="AB42" s="11" t="s">
        <v>41</v>
      </c>
      <c r="AC42" s="12" t="s">
        <v>42</v>
      </c>
      <c r="AD42" s="11" t="s">
        <v>43</v>
      </c>
      <c r="AE42" s="12" t="s">
        <v>134</v>
      </c>
      <c r="AF42" s="14">
        <f t="shared" si="0"/>
        <v>1.0986153000000001</v>
      </c>
      <c r="AG42" s="11" t="s">
        <v>121</v>
      </c>
    </row>
    <row r="43" spans="1:33" x14ac:dyDescent="0.2">
      <c r="A43" s="8">
        <v>9222</v>
      </c>
      <c r="B43" s="9" t="s">
        <v>159</v>
      </c>
      <c r="C43" s="10">
        <v>43516</v>
      </c>
      <c r="D43" s="11">
        <v>95</v>
      </c>
      <c r="E43" s="12" t="s">
        <v>34</v>
      </c>
      <c r="F43" s="12" t="s">
        <v>35</v>
      </c>
      <c r="G43" s="12" t="s">
        <v>35</v>
      </c>
      <c r="H43" s="12" t="s">
        <v>36</v>
      </c>
      <c r="I43" s="11" t="s">
        <v>174</v>
      </c>
      <c r="J43" s="12" t="s">
        <v>175</v>
      </c>
      <c r="K43" s="13" t="s">
        <v>130</v>
      </c>
      <c r="L43" s="11" t="str">
        <f>"000264"</f>
        <v>000264</v>
      </c>
      <c r="M43" s="10">
        <v>43511</v>
      </c>
      <c r="N43" s="11" t="str">
        <f>"000178"</f>
        <v>000178</v>
      </c>
      <c r="O43" s="10">
        <v>43511</v>
      </c>
      <c r="P43" s="11" t="str">
        <f>"000254"</f>
        <v>000254</v>
      </c>
      <c r="Q43" s="10">
        <v>43511</v>
      </c>
      <c r="R43" s="11"/>
      <c r="S43" s="11" t="str">
        <f>"009295"</f>
        <v>009295</v>
      </c>
      <c r="T43" s="10">
        <v>43516</v>
      </c>
      <c r="U43" s="14">
        <v>220.84556000000001</v>
      </c>
      <c r="V43" s="14">
        <v>25.974969999999999</v>
      </c>
      <c r="W43" s="14">
        <v>194.87058999999999</v>
      </c>
      <c r="X43" s="11">
        <v>354</v>
      </c>
      <c r="Y43" s="10">
        <v>43516</v>
      </c>
      <c r="Z43" s="11">
        <v>9483161122</v>
      </c>
      <c r="AA43" s="12" t="s">
        <v>131</v>
      </c>
      <c r="AB43" s="11" t="s">
        <v>41</v>
      </c>
      <c r="AC43" s="12" t="s">
        <v>42</v>
      </c>
      <c r="AD43" s="11" t="s">
        <v>43</v>
      </c>
      <c r="AE43" s="12" t="s">
        <v>134</v>
      </c>
      <c r="AF43" s="14">
        <f t="shared" si="0"/>
        <v>2.2084556000000002</v>
      </c>
      <c r="AG43" s="11" t="s">
        <v>121</v>
      </c>
    </row>
    <row r="44" spans="1:33" x14ac:dyDescent="0.2">
      <c r="A44" s="8">
        <v>9382</v>
      </c>
      <c r="B44" s="9" t="s">
        <v>159</v>
      </c>
      <c r="C44" s="10">
        <v>43521</v>
      </c>
      <c r="D44" s="11">
        <v>95</v>
      </c>
      <c r="E44" s="12" t="s">
        <v>34</v>
      </c>
      <c r="F44" s="12" t="s">
        <v>35</v>
      </c>
      <c r="G44" s="12" t="s">
        <v>35</v>
      </c>
      <c r="H44" s="12" t="s">
        <v>36</v>
      </c>
      <c r="I44" s="11" t="s">
        <v>176</v>
      </c>
      <c r="J44" s="12" t="s">
        <v>177</v>
      </c>
      <c r="K44" s="13" t="s">
        <v>178</v>
      </c>
      <c r="L44" s="11" t="str">
        <f>"000075"</f>
        <v>000075</v>
      </c>
      <c r="M44" s="10">
        <v>43178</v>
      </c>
      <c r="N44" s="11" t="str">
        <f>"000056"</f>
        <v>000056</v>
      </c>
      <c r="O44" s="10">
        <v>43178</v>
      </c>
      <c r="P44" s="11" t="str">
        <f>"000073"</f>
        <v>000073</v>
      </c>
      <c r="Q44" s="10">
        <v>43178</v>
      </c>
      <c r="R44" s="11"/>
      <c r="S44" s="11" t="str">
        <f>"009386"</f>
        <v>009386</v>
      </c>
      <c r="T44" s="10">
        <v>43518</v>
      </c>
      <c r="U44" s="14">
        <v>14.651999999999999</v>
      </c>
      <c r="V44" s="14">
        <v>1.3333600000000001</v>
      </c>
      <c r="W44" s="14">
        <v>13.31864</v>
      </c>
      <c r="X44" s="11">
        <v>360</v>
      </c>
      <c r="Y44" s="10">
        <v>43521</v>
      </c>
      <c r="Z44" s="11">
        <v>9483161122</v>
      </c>
      <c r="AA44" s="12" t="s">
        <v>40</v>
      </c>
      <c r="AB44" s="11" t="s">
        <v>179</v>
      </c>
      <c r="AC44" s="12" t="s">
        <v>180</v>
      </c>
      <c r="AD44" s="11" t="s">
        <v>43</v>
      </c>
      <c r="AE44" s="12" t="s">
        <v>134</v>
      </c>
      <c r="AF44" s="14">
        <f t="shared" si="0"/>
        <v>0.14651999999999998</v>
      </c>
      <c r="AG44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2019-06-13T07:56:25Z</dcterms:modified>
</cp:coreProperties>
</file>