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1" i="1" l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<sst xmlns="http://schemas.openxmlformats.org/spreadsheetml/2006/main" count="593" uniqueCount="168">
  <si>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</si>
  <si>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</si>
  <si>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</si>
  <si>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</si>
  <si>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</si>
  <si>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</si>
  <si>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</si>
  <si>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</si>
  <si>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</si>
  <si>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</si>
  <si>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</si>
  <si>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</si>
  <si>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</si>
  <si>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</si>
  <si>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</si>
  <si>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</si>
  <si>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</si>
  <si>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</si>
  <si>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</si>
  <si>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</si>
  <si>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</si>
  <si>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</si>
  <si>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</si>
  <si>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</si>
  <si>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</si>
  <si>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</si>
  <si>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</si>
  <si>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</si>
  <si>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</si>
  <si>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</si>
  <si>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</si>
  <si>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</si>
  <si>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</si>
  <si>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</si>
  <si>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Okalipuram</t>
  </si>
  <si>
    <t>Gandhi Nagara</t>
  </si>
  <si>
    <t>West</t>
  </si>
  <si>
    <t>096-16-000012</t>
  </si>
  <si>
    <t>Pothole Filling in Ward No-96 ( Asphalting And Cement)</t>
  </si>
  <si>
    <t>Roads &amp; Drivablility</t>
  </si>
  <si>
    <t>S Rajendra</t>
  </si>
  <si>
    <t>P1771</t>
  </si>
  <si>
    <t>Zone Works - POW Works</t>
  </si>
  <si>
    <t>ddo202</t>
  </si>
  <si>
    <t xml:space="preserve"> Assistant Executive Engineer Gandinagar West Zone</t>
  </si>
  <si>
    <t>Pending</t>
  </si>
  <si>
    <t>096-16-000015</t>
  </si>
  <si>
    <t>Repair to Borewells in Ward No-96</t>
  </si>
  <si>
    <t>Water &amp; Sanitary</t>
  </si>
  <si>
    <t>S T Umesh</t>
  </si>
  <si>
    <t>P1802</t>
  </si>
  <si>
    <t>Water Supply New Areas</t>
  </si>
  <si>
    <t>096-16-000008</t>
  </si>
  <si>
    <t>Drilling New Borewells in 2nd Cross Kalappa Block in Ward No-96</t>
  </si>
  <si>
    <t>096-16-000004</t>
  </si>
  <si>
    <t>Asphalting and improvement to drain in 3rd Cross Robertson Block (Sri Manjunatha Candiments 1st Main Road to Sai Medicals and General Stores) In Ward No-96</t>
  </si>
  <si>
    <t>Footpaths &amp; Walkability</t>
  </si>
  <si>
    <t>Aishwarya Infrastrucure and Developers</t>
  </si>
  <si>
    <t>May</t>
  </si>
  <si>
    <t>096-16-000007</t>
  </si>
  <si>
    <t>Desilting of drains and improvement to drains in M Nagendrappa Block (Aruna Takies To Via Selvanagar upto Star Motor drain) in Ward No-96</t>
  </si>
  <si>
    <t>B N Naveen Kumar</t>
  </si>
  <si>
    <t>096-16-000010</t>
  </si>
  <si>
    <t>Improvement to Culverts, in Gopalpura, Ramchandrapura, Saibababnagar in Ward No-96</t>
  </si>
  <si>
    <t xml:space="preserve">M Shiva Kumar </t>
  </si>
  <si>
    <t>June</t>
  </si>
  <si>
    <t>096-15-000014</t>
  </si>
  <si>
    <t xml:space="preserve">Providing CC to lanes at 2nd cross Saibaba Nagar in ward no.96 </t>
  </si>
  <si>
    <t>Other Ward Works</t>
  </si>
  <si>
    <t>096-15-000008</t>
  </si>
  <si>
    <t xml:space="preserve">Improvments to drain and Providing CC to internal lanes at okalipuram slum in Ward No.96 </t>
  </si>
  <si>
    <t>096-18-000004</t>
  </si>
  <si>
    <t>Construction of 1st Floor to Government School in ward no 96.</t>
  </si>
  <si>
    <t>Technical Manager KRIDL West</t>
  </si>
  <si>
    <t>P3111</t>
  </si>
  <si>
    <t>State Finance Commission Untied Grant Works</t>
  </si>
  <si>
    <t>Current</t>
  </si>
  <si>
    <t>096-16-000026</t>
  </si>
  <si>
    <t>Construction of Public Toilet Block at Gopalapura Circle in ward.96</t>
  </si>
  <si>
    <t>Health &amp; Sanitation</t>
  </si>
  <si>
    <t>P0190</t>
  </si>
  <si>
    <t>Works sanctioned by Hon Mayor</t>
  </si>
  <si>
    <t>096-15-000006</t>
  </si>
  <si>
    <t xml:space="preserve">Improvments to drain and upgradation of sanitary lines and Providing CC to road cut portion at 4th main R.C.Puram in Ward No.96 </t>
  </si>
  <si>
    <t xml:space="preserve">A K S Mahesh Yadav </t>
  </si>
  <si>
    <t>096-15-000001</t>
  </si>
  <si>
    <t xml:space="preserve">Construction of L shape drain and Providing CC to internal lanes at selva nagar slum in ward no.96 </t>
  </si>
  <si>
    <t>J Kiran Kumar</t>
  </si>
  <si>
    <t>096-15-000005</t>
  </si>
  <si>
    <t xml:space="preserve">Improvements drain and providing covering slabs at 5th main, 5th cross, 2nd stage, Okalipuram in ward no.96 </t>
  </si>
  <si>
    <t>096-16-000027</t>
  </si>
  <si>
    <t>Improvements to burrial ground at Ramachandrapuram ward 96</t>
  </si>
  <si>
    <t>P0486</t>
  </si>
  <si>
    <t>MandR to Burial Grounds and Burning ghats / Electrical creamtoruim</t>
  </si>
  <si>
    <t>096-16-000024</t>
  </si>
  <si>
    <t>Improvements to drain and clearing debries in front of sobha Appartment in ward no 96</t>
  </si>
  <si>
    <t>P0598</t>
  </si>
  <si>
    <t>Desilting of Tertiary drains</t>
  </si>
  <si>
    <t>096-16-000023</t>
  </si>
  <si>
    <t>Improvements to drain and at R C Puram in ward no 96</t>
  </si>
  <si>
    <t>096-16-000016</t>
  </si>
  <si>
    <t>Silt and Tractor in Ward no-96</t>
  </si>
  <si>
    <t>096-17-000029</t>
  </si>
  <si>
    <t>Engagement of Gangman and Hiring of Tractor Tippers for cleaning and Maintenance of road side drains and other cleaning works in works in ward no 96</t>
  </si>
  <si>
    <t>P3110</t>
  </si>
  <si>
    <t>14th Finance Commission Grant Works</t>
  </si>
  <si>
    <t>July</t>
  </si>
  <si>
    <t>096-16-000006</t>
  </si>
  <si>
    <t>Improvements to Asphalting 5th cross new Kalappa block (Bangalore one road ) in Ward no-96</t>
  </si>
  <si>
    <t>Vijay Kumar Y</t>
  </si>
  <si>
    <t>August</t>
  </si>
  <si>
    <t>096-18-000007</t>
  </si>
  <si>
    <t>Improvements to drains and providing cement concrete to roads in Ramachandrapura slum and surrounding area in ward no-96</t>
  </si>
  <si>
    <t>Technical Manager  (West) Karnataka Rural Infrastructure Development Limited</t>
  </si>
  <si>
    <t>P1878</t>
  </si>
  <si>
    <t>18per - Works (Bhagyajyothi, Sooru / Neeru Yojane and General) (54 Lakhs / New Wards)</t>
  </si>
  <si>
    <t>096-18-000005</t>
  </si>
  <si>
    <t>Improvements to drains and providing cement concrete to roads in sai baba nagar slum and surrounding area in ward no-96</t>
  </si>
  <si>
    <t>096-18-000006</t>
  </si>
  <si>
    <t>Improvements to drains and providing cement concrete to roads in Arundathinagar slum and surrounding area in ward no-96</t>
  </si>
  <si>
    <t>096-18-000008</t>
  </si>
  <si>
    <t>Improvements to drains and providing cement concrete to roads in Nagendrappa block and Selvanagar slum and surrounding area in ward no-96</t>
  </si>
  <si>
    <t>September</t>
  </si>
  <si>
    <t>096-16-000017</t>
  </si>
  <si>
    <t>Water Purification plant installation in Sunrise Circle. Ward No-96</t>
  </si>
  <si>
    <t>October</t>
  </si>
  <si>
    <t>096-18-000030</t>
  </si>
  <si>
    <t xml:space="preserve">Providing and Asphalting and improvements to Drain Culverts in 7th and 9th Main Road in Ward No 96 </t>
  </si>
  <si>
    <t>P3158</t>
  </si>
  <si>
    <t>SIP Infrastructure Project works</t>
  </si>
  <si>
    <t xml:space="preserve"> Assistant Executive Engineer Gandhinagar West Zone</t>
  </si>
  <si>
    <t>096-17-000017</t>
  </si>
  <si>
    <t>Improvements drain and Asphalting in Saibaba Nagar 1st and 8th Cross In Ward-96</t>
  </si>
  <si>
    <t>December</t>
  </si>
  <si>
    <t>096-15-000025</t>
  </si>
  <si>
    <t>Providing new borwell and repairs to existing defunct borwell at 2nd stage in ward no-96</t>
  </si>
  <si>
    <t>096-15-000026</t>
  </si>
  <si>
    <t>Providing new borwell and repairs to existing defunct borwell at Okalipuram 5th main in ward no-96</t>
  </si>
  <si>
    <t>096-15-000027</t>
  </si>
  <si>
    <t>Providing new borwell at burial ground and repairs to existing defunct borwell at 7th main srirampura in ward no-96</t>
  </si>
  <si>
    <t>Public Amenities</t>
  </si>
  <si>
    <t>096-17-000013</t>
  </si>
  <si>
    <t>Desmantling of Existing drain and Improvements to Road 2nd Cross of Robertson Block In Ward-96</t>
  </si>
  <si>
    <t>096-17-000009</t>
  </si>
  <si>
    <t>Re Surfacing of CC Road Conservancy Ramachandrapura In Ward-96</t>
  </si>
  <si>
    <t>096-17-000006</t>
  </si>
  <si>
    <t>Re Surfacing CC road in 2nd cross Kalappa block In Ward-96</t>
  </si>
  <si>
    <t>January</t>
  </si>
  <si>
    <t>096-18-000015</t>
  </si>
  <si>
    <t>Drilling of Borwell and providing water supply connection at Shrirampura and surrounding area in ward no-96</t>
  </si>
  <si>
    <t>February</t>
  </si>
  <si>
    <t>096-16-000029</t>
  </si>
  <si>
    <t>Providing water supplying to multi store building SC house in Okalipuram slum in ward no-96</t>
  </si>
  <si>
    <t>KRIDL</t>
  </si>
  <si>
    <t>096-16-000030</t>
  </si>
  <si>
    <t>Providing water supplying to multi store building in ST house s in Okalipuram slum in ward no-96</t>
  </si>
  <si>
    <t>096-18-000001</t>
  </si>
  <si>
    <t>Providing Asphalting and Improvements works in Ramachandrapura and Surrounding areas in ward no 96.</t>
  </si>
  <si>
    <t>096-18-000003</t>
  </si>
  <si>
    <t>Providing Asphalting and other Improvements works in Brahmapura and surroundings in ward no 96.</t>
  </si>
  <si>
    <t>096-18-000002</t>
  </si>
  <si>
    <t>Providing Asphalting and other Improvements works in Okalipura and surroundings in ward no 96.</t>
  </si>
  <si>
    <t>096-16-000025</t>
  </si>
  <si>
    <t>Construction of Dr.B.R. Ambedkar Samudaya Bhavan at Gopalapura Slum near Ayyappa temple in ward.96</t>
  </si>
  <si>
    <t>March</t>
  </si>
  <si>
    <t>096-17-000028</t>
  </si>
  <si>
    <t>Providing CC Camera at Garbage Block Spots in ward no 96</t>
  </si>
  <si>
    <t>Crime &amp; Safety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</si>
</sst>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abSelected="1" workbookViewId="0">
      <pane ySplit="1" topLeftCell="A2" activePane="bottomLeft" state="frozen"/>
      <selection activeCell="H1" sqref="H1"/>
      <selection pane="bottomLeft" activeCell="D6" sqref="D6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398</v>
      </c>
      <c r="B2" s="9" t="s">
        <v>33</v>
      </c>
      <c r="C2" s="10">
        <v>43200</v>
      </c>
      <c r="D2" s="11">
        <v>96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"000023"</f>
        <v>000023</v>
      </c>
      <c r="M2" s="10">
        <v>42501</v>
      </c>
      <c r="N2" s="11" t="str">
        <f>"000189"</f>
        <v>000189</v>
      </c>
      <c r="O2" s="10">
        <v>42720</v>
      </c>
      <c r="P2" s="11" t="str">
        <f>"000464"</f>
        <v>000464</v>
      </c>
      <c r="Q2" s="10">
        <v>42720</v>
      </c>
      <c r="R2" s="11">
        <v>16</v>
      </c>
      <c r="S2" s="11" t="str">
        <f>"000404"</f>
        <v>000404</v>
      </c>
      <c r="T2" s="10">
        <v>43197</v>
      </c>
      <c r="U2" s="14">
        <v>9.9759200000000003</v>
      </c>
      <c r="V2" s="14">
        <v>1.3239099999999999</v>
      </c>
      <c r="W2" s="14">
        <v>8.6520100000000006</v>
      </c>
      <c r="X2" s="11">
        <v>10</v>
      </c>
      <c r="Y2" s="10">
        <v>43200</v>
      </c>
      <c r="Z2" s="11">
        <v>9916802955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9.9759200000000006E-2</v>
      </c>
      <c r="AG2" s="11" t="s">
        <v>45</v>
      </c>
    </row>
    <row r="3" spans="1:33" x14ac:dyDescent="0.2">
      <c r="A3" s="8">
        <v>535</v>
      </c>
      <c r="B3" s="9" t="s">
        <v>33</v>
      </c>
      <c r="C3" s="10">
        <v>43203</v>
      </c>
      <c r="D3" s="11">
        <v>96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48</v>
      </c>
      <c r="L3" s="11" t="str">
        <f>"000100"</f>
        <v>000100</v>
      </c>
      <c r="M3" s="10">
        <v>42639</v>
      </c>
      <c r="N3" s="11" t="str">
        <f>"00.0.4"</f>
        <v>00.0.4</v>
      </c>
      <c r="O3" s="10">
        <v>42671</v>
      </c>
      <c r="P3" s="11" t="str">
        <f>"000423"</f>
        <v>000423</v>
      </c>
      <c r="Q3" s="10">
        <v>42671</v>
      </c>
      <c r="R3" s="11">
        <v>16</v>
      </c>
      <c r="S3" s="11" t="str">
        <f>"000380"</f>
        <v>000380</v>
      </c>
      <c r="T3" s="10">
        <v>43197</v>
      </c>
      <c r="U3" s="14">
        <v>4.4896799999999999</v>
      </c>
      <c r="V3" s="14">
        <v>0.50019999999999998</v>
      </c>
      <c r="W3" s="14">
        <v>3.9894799999999999</v>
      </c>
      <c r="X3" s="11">
        <v>20</v>
      </c>
      <c r="Y3" s="10">
        <v>43203</v>
      </c>
      <c r="Z3" s="11">
        <v>9945417770</v>
      </c>
      <c r="AA3" s="12" t="s">
        <v>49</v>
      </c>
      <c r="AB3" s="11" t="s">
        <v>50</v>
      </c>
      <c r="AC3" s="12" t="s">
        <v>51</v>
      </c>
      <c r="AD3" s="11" t="s">
        <v>43</v>
      </c>
      <c r="AE3" s="12" t="s">
        <v>44</v>
      </c>
      <c r="AF3" s="14">
        <v>4.4896800000000001E-2</v>
      </c>
      <c r="AG3" s="11" t="s">
        <v>45</v>
      </c>
    </row>
    <row r="4" spans="1:33" x14ac:dyDescent="0.2">
      <c r="A4" s="8">
        <v>536</v>
      </c>
      <c r="B4" s="9" t="s">
        <v>33</v>
      </c>
      <c r="C4" s="10">
        <v>43203</v>
      </c>
      <c r="D4" s="11">
        <v>96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52</v>
      </c>
      <c r="J4" s="12" t="s">
        <v>53</v>
      </c>
      <c r="K4" s="13" t="s">
        <v>48</v>
      </c>
      <c r="L4" s="11" t="str">
        <f>"000.98"</f>
        <v>000.98</v>
      </c>
      <c r="M4" s="10">
        <v>42639</v>
      </c>
      <c r="N4" s="11" t="str">
        <f>"00.005"</f>
        <v>00.005</v>
      </c>
      <c r="O4" s="10">
        <v>42671</v>
      </c>
      <c r="P4" s="11" t="str">
        <f>"000425"</f>
        <v>000425</v>
      </c>
      <c r="Q4" s="10">
        <v>42671</v>
      </c>
      <c r="R4" s="11">
        <v>16</v>
      </c>
      <c r="S4" s="11" t="str">
        <f>"000382"</f>
        <v>000382</v>
      </c>
      <c r="T4" s="10">
        <v>43197</v>
      </c>
      <c r="U4" s="14">
        <v>4.4619200000000001</v>
      </c>
      <c r="V4" s="14">
        <v>0.49661</v>
      </c>
      <c r="W4" s="14">
        <v>3.9653100000000001</v>
      </c>
      <c r="X4" s="11">
        <v>20</v>
      </c>
      <c r="Y4" s="10">
        <v>43203</v>
      </c>
      <c r="Z4" s="11">
        <v>9945417770</v>
      </c>
      <c r="AA4" s="12" t="s">
        <v>49</v>
      </c>
      <c r="AB4" s="11" t="s">
        <v>50</v>
      </c>
      <c r="AC4" s="12" t="s">
        <v>51</v>
      </c>
      <c r="AD4" s="11" t="s">
        <v>43</v>
      </c>
      <c r="AE4" s="12" t="s">
        <v>44</v>
      </c>
      <c r="AF4" s="14">
        <v>4.4619199999999998E-2</v>
      </c>
      <c r="AG4" s="11" t="s">
        <v>45</v>
      </c>
    </row>
    <row r="5" spans="1:33" x14ac:dyDescent="0.2">
      <c r="A5" s="8">
        <v>631</v>
      </c>
      <c r="B5" s="9" t="s">
        <v>33</v>
      </c>
      <c r="C5" s="10">
        <v>43214</v>
      </c>
      <c r="D5" s="11">
        <v>96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54</v>
      </c>
      <c r="J5" s="12" t="s">
        <v>55</v>
      </c>
      <c r="K5" s="13" t="s">
        <v>56</v>
      </c>
      <c r="L5" s="11" t="str">
        <f>"000154"</f>
        <v>000154</v>
      </c>
      <c r="M5" s="10">
        <v>42488</v>
      </c>
      <c r="N5" s="11" t="str">
        <f>"00.003"</f>
        <v>00.003</v>
      </c>
      <c r="O5" s="10">
        <v>42520</v>
      </c>
      <c r="P5" s="11" t="str">
        <f>"000114"</f>
        <v>000114</v>
      </c>
      <c r="Q5" s="10">
        <v>42520</v>
      </c>
      <c r="R5" s="11">
        <v>16</v>
      </c>
      <c r="S5" s="11" t="str">
        <f>"000538"</f>
        <v>000538</v>
      </c>
      <c r="T5" s="10">
        <v>43203</v>
      </c>
      <c r="U5" s="14">
        <v>14.2125</v>
      </c>
      <c r="V5" s="14">
        <v>1.91483</v>
      </c>
      <c r="W5" s="14">
        <v>12.29767</v>
      </c>
      <c r="X5" s="11">
        <v>23</v>
      </c>
      <c r="Y5" s="10">
        <v>43214</v>
      </c>
      <c r="Z5" s="11">
        <v>9945417770</v>
      </c>
      <c r="AA5" s="12" t="s">
        <v>57</v>
      </c>
      <c r="AB5" s="11" t="s">
        <v>41</v>
      </c>
      <c r="AC5" s="12" t="s">
        <v>42</v>
      </c>
      <c r="AD5" s="11" t="s">
        <v>43</v>
      </c>
      <c r="AE5" s="12" t="s">
        <v>44</v>
      </c>
      <c r="AF5" s="14">
        <v>0.142125</v>
      </c>
      <c r="AG5" s="11" t="s">
        <v>45</v>
      </c>
    </row>
    <row r="6" spans="1:33" x14ac:dyDescent="0.2">
      <c r="A6" s="8">
        <v>1213</v>
      </c>
      <c r="B6" s="9" t="s">
        <v>58</v>
      </c>
      <c r="C6" s="10">
        <v>43238</v>
      </c>
      <c r="D6" s="11">
        <v>96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59</v>
      </c>
      <c r="J6" s="12" t="s">
        <v>60</v>
      </c>
      <c r="K6" s="13" t="s">
        <v>56</v>
      </c>
      <c r="L6" s="11" t="str">
        <f>"000143"</f>
        <v>000143</v>
      </c>
      <c r="M6" s="10">
        <v>42432</v>
      </c>
      <c r="N6" s="11" t="str">
        <f>"000095"</f>
        <v>000095</v>
      </c>
      <c r="O6" s="10">
        <v>42613</v>
      </c>
      <c r="P6" s="11" t="str">
        <f>"000252"</f>
        <v>000252</v>
      </c>
      <c r="Q6" s="10">
        <v>42613</v>
      </c>
      <c r="R6" s="11">
        <v>16</v>
      </c>
      <c r="S6" s="11" t="str">
        <f>"001492"</f>
        <v>001492</v>
      </c>
      <c r="T6" s="10">
        <v>43236</v>
      </c>
      <c r="U6" s="14">
        <v>17.995049999999999</v>
      </c>
      <c r="V6" s="14">
        <v>2.24281</v>
      </c>
      <c r="W6" s="14">
        <v>15.75224</v>
      </c>
      <c r="X6" s="11">
        <v>52</v>
      </c>
      <c r="Y6" s="10">
        <v>43238</v>
      </c>
      <c r="Z6" s="11">
        <v>9480087461</v>
      </c>
      <c r="AA6" s="12" t="s">
        <v>61</v>
      </c>
      <c r="AB6" s="11" t="s">
        <v>41</v>
      </c>
      <c r="AC6" s="12" t="s">
        <v>42</v>
      </c>
      <c r="AD6" s="11" t="s">
        <v>43</v>
      </c>
      <c r="AE6" s="12" t="s">
        <v>44</v>
      </c>
      <c r="AF6" s="14">
        <v>0.17995049999999999</v>
      </c>
      <c r="AG6" s="11" t="s">
        <v>45</v>
      </c>
    </row>
    <row r="7" spans="1:33" x14ac:dyDescent="0.2">
      <c r="A7" s="8">
        <v>1214</v>
      </c>
      <c r="B7" s="9" t="s">
        <v>58</v>
      </c>
      <c r="C7" s="10">
        <v>43238</v>
      </c>
      <c r="D7" s="11">
        <v>96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62</v>
      </c>
      <c r="J7" s="12" t="s">
        <v>63</v>
      </c>
      <c r="K7" s="13" t="s">
        <v>39</v>
      </c>
      <c r="L7" s="11" t="str">
        <f>"000022"</f>
        <v>000022</v>
      </c>
      <c r="M7" s="10">
        <v>42501</v>
      </c>
      <c r="N7" s="11" t="str">
        <f>"000110"</f>
        <v>000110</v>
      </c>
      <c r="O7" s="10">
        <v>42613</v>
      </c>
      <c r="P7" s="11" t="str">
        <f>"000274"</f>
        <v>000274</v>
      </c>
      <c r="Q7" s="10">
        <v>42613</v>
      </c>
      <c r="R7" s="11">
        <v>16</v>
      </c>
      <c r="S7" s="11" t="str">
        <f>"001497"</f>
        <v>001497</v>
      </c>
      <c r="T7" s="10">
        <v>43236</v>
      </c>
      <c r="U7" s="14">
        <v>9.47851</v>
      </c>
      <c r="V7" s="14">
        <v>1.2140200000000001</v>
      </c>
      <c r="W7" s="14">
        <v>8.2644900000000003</v>
      </c>
      <c r="X7" s="11">
        <v>52</v>
      </c>
      <c r="Y7" s="10">
        <v>43238</v>
      </c>
      <c r="Z7" s="11">
        <v>9886259525</v>
      </c>
      <c r="AA7" s="12" t="s">
        <v>64</v>
      </c>
      <c r="AB7" s="11" t="s">
        <v>41</v>
      </c>
      <c r="AC7" s="12" t="s">
        <v>42</v>
      </c>
      <c r="AD7" s="11" t="s">
        <v>43</v>
      </c>
      <c r="AE7" s="12" t="s">
        <v>44</v>
      </c>
      <c r="AF7" s="14">
        <v>9.4785099999999997E-2</v>
      </c>
      <c r="AG7" s="11" t="s">
        <v>45</v>
      </c>
    </row>
    <row r="8" spans="1:33" x14ac:dyDescent="0.2">
      <c r="A8" s="8">
        <v>1643</v>
      </c>
      <c r="B8" s="9" t="s">
        <v>65</v>
      </c>
      <c r="C8" s="10">
        <v>43252</v>
      </c>
      <c r="D8" s="11">
        <v>96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66</v>
      </c>
      <c r="J8" s="12" t="s">
        <v>67</v>
      </c>
      <c r="K8" s="13" t="s">
        <v>68</v>
      </c>
      <c r="L8" s="11" t="str">
        <f>"000038"</f>
        <v>000038</v>
      </c>
      <c r="M8" s="10">
        <v>42111</v>
      </c>
      <c r="N8" s="11" t="str">
        <f>"00.259"</f>
        <v>00.259</v>
      </c>
      <c r="O8" s="10">
        <v>42426</v>
      </c>
      <c r="P8" s="11" t="str">
        <f>"000428"</f>
        <v>000428</v>
      </c>
      <c r="Q8" s="10">
        <v>42426</v>
      </c>
      <c r="R8" s="11">
        <v>15</v>
      </c>
      <c r="S8" s="11" t="str">
        <f>"001992"</f>
        <v>001992</v>
      </c>
      <c r="T8" s="10">
        <v>43246</v>
      </c>
      <c r="U8" s="14">
        <v>14.680680000000001</v>
      </c>
      <c r="V8" s="14">
        <v>1.97367</v>
      </c>
      <c r="W8" s="14">
        <v>12.70701</v>
      </c>
      <c r="X8" s="11">
        <v>63</v>
      </c>
      <c r="Y8" s="10">
        <v>43252</v>
      </c>
      <c r="Z8" s="11">
        <v>9945417770</v>
      </c>
      <c r="AA8" s="12" t="s">
        <v>57</v>
      </c>
      <c r="AB8" s="11" t="s">
        <v>41</v>
      </c>
      <c r="AC8" s="12" t="s">
        <v>42</v>
      </c>
      <c r="AD8" s="11" t="s">
        <v>43</v>
      </c>
      <c r="AE8" s="12" t="s">
        <v>44</v>
      </c>
      <c r="AF8" s="14">
        <v>0.14680680000000002</v>
      </c>
      <c r="AG8" s="11" t="s">
        <v>45</v>
      </c>
    </row>
    <row r="9" spans="1:33" x14ac:dyDescent="0.2">
      <c r="A9" s="8">
        <v>1644</v>
      </c>
      <c r="B9" s="9" t="s">
        <v>65</v>
      </c>
      <c r="C9" s="10">
        <v>43252</v>
      </c>
      <c r="D9" s="11">
        <v>96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69</v>
      </c>
      <c r="J9" s="12" t="s">
        <v>70</v>
      </c>
      <c r="K9" s="13" t="s">
        <v>56</v>
      </c>
      <c r="L9" s="11" t="str">
        <f>"000034"</f>
        <v>000034</v>
      </c>
      <c r="M9" s="10">
        <v>42111</v>
      </c>
      <c r="N9" s="11" t="str">
        <f>"00.432"</f>
        <v>00.432</v>
      </c>
      <c r="O9" s="10">
        <v>42426</v>
      </c>
      <c r="P9" s="11" t="str">
        <f>"000432"</f>
        <v>000432</v>
      </c>
      <c r="Q9" s="10">
        <v>42426</v>
      </c>
      <c r="R9" s="11">
        <v>15</v>
      </c>
      <c r="S9" s="11" t="str">
        <f>"001993"</f>
        <v>001993</v>
      </c>
      <c r="T9" s="10">
        <v>43246</v>
      </c>
      <c r="U9" s="14">
        <v>19.598279999999999</v>
      </c>
      <c r="V9" s="14">
        <v>2.6173700000000002</v>
      </c>
      <c r="W9" s="14">
        <v>16.980910000000002</v>
      </c>
      <c r="X9" s="11">
        <v>63</v>
      </c>
      <c r="Y9" s="10">
        <v>43252</v>
      </c>
      <c r="Z9" s="11">
        <v>9945417770</v>
      </c>
      <c r="AA9" s="12" t="s">
        <v>57</v>
      </c>
      <c r="AB9" s="11" t="s">
        <v>41</v>
      </c>
      <c r="AC9" s="12" t="s">
        <v>42</v>
      </c>
      <c r="AD9" s="11" t="s">
        <v>43</v>
      </c>
      <c r="AE9" s="12" t="s">
        <v>44</v>
      </c>
      <c r="AF9" s="14">
        <v>0.19598279999999998</v>
      </c>
      <c r="AG9" s="11" t="s">
        <v>45</v>
      </c>
    </row>
    <row r="10" spans="1:33" x14ac:dyDescent="0.2">
      <c r="A10" s="8">
        <v>1832</v>
      </c>
      <c r="B10" s="9" t="s">
        <v>65</v>
      </c>
      <c r="C10" s="10">
        <v>43257</v>
      </c>
      <c r="D10" s="11">
        <v>96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71</v>
      </c>
      <c r="J10" s="12" t="s">
        <v>72</v>
      </c>
      <c r="K10" s="13" t="s">
        <v>68</v>
      </c>
      <c r="L10" s="11" t="str">
        <f>"000022"</f>
        <v>000022</v>
      </c>
      <c r="M10" s="10">
        <v>43211</v>
      </c>
      <c r="N10" s="11" t="str">
        <f>"000019"</f>
        <v>000019</v>
      </c>
      <c r="O10" s="10">
        <v>43211</v>
      </c>
      <c r="P10" s="11" t="str">
        <f>"000022"</f>
        <v>000022</v>
      </c>
      <c r="Q10" s="10">
        <v>43211</v>
      </c>
      <c r="R10" s="11">
        <v>18</v>
      </c>
      <c r="S10" s="11" t="str">
        <f>"002073"</f>
        <v>002073</v>
      </c>
      <c r="T10" s="10">
        <v>43250</v>
      </c>
      <c r="U10" s="14">
        <v>48.985230000000001</v>
      </c>
      <c r="V10" s="14">
        <v>5.47593</v>
      </c>
      <c r="W10" s="14">
        <v>43.509300000000003</v>
      </c>
      <c r="X10" s="11">
        <v>73</v>
      </c>
      <c r="Y10" s="10">
        <v>43257</v>
      </c>
      <c r="Z10" s="11">
        <v>9483161122</v>
      </c>
      <c r="AA10" s="12" t="s">
        <v>73</v>
      </c>
      <c r="AB10" s="11" t="s">
        <v>74</v>
      </c>
      <c r="AC10" s="12" t="s">
        <v>75</v>
      </c>
      <c r="AD10" s="11" t="s">
        <v>43</v>
      </c>
      <c r="AE10" s="12" t="s">
        <v>44</v>
      </c>
      <c r="AF10" s="14">
        <v>0.48985230000000002</v>
      </c>
      <c r="AG10" s="11" t="s">
        <v>76</v>
      </c>
    </row>
    <row r="11" spans="1:33" x14ac:dyDescent="0.2">
      <c r="A11" s="8">
        <v>2032</v>
      </c>
      <c r="B11" s="9" t="s">
        <v>65</v>
      </c>
      <c r="C11" s="10">
        <v>43262</v>
      </c>
      <c r="D11" s="11">
        <v>96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77</v>
      </c>
      <c r="J11" s="12" t="s">
        <v>78</v>
      </c>
      <c r="K11" s="13" t="s">
        <v>79</v>
      </c>
      <c r="L11" s="11" t="str">
        <f>"000108"</f>
        <v>000108</v>
      </c>
      <c r="M11" s="10">
        <v>42668</v>
      </c>
      <c r="N11" s="11" t="str">
        <f>"000030"</f>
        <v>000030</v>
      </c>
      <c r="O11" s="10">
        <v>42902</v>
      </c>
      <c r="P11" s="11" t="str">
        <f>"000244"</f>
        <v>000244</v>
      </c>
      <c r="Q11" s="10">
        <v>42902</v>
      </c>
      <c r="R11" s="11">
        <v>16</v>
      </c>
      <c r="S11" s="11" t="str">
        <f>"002202"</f>
        <v>002202</v>
      </c>
      <c r="T11" s="10">
        <v>43257</v>
      </c>
      <c r="U11" s="14">
        <v>7.9772499999999997</v>
      </c>
      <c r="V11" s="14">
        <v>1.1261300000000001</v>
      </c>
      <c r="W11" s="14">
        <v>6.8511199999999999</v>
      </c>
      <c r="X11" s="11">
        <v>79</v>
      </c>
      <c r="Y11" s="10">
        <v>43262</v>
      </c>
      <c r="Z11" s="11">
        <v>9483161122</v>
      </c>
      <c r="AA11" s="12" t="s">
        <v>73</v>
      </c>
      <c r="AB11" s="11" t="s">
        <v>80</v>
      </c>
      <c r="AC11" s="12" t="s">
        <v>81</v>
      </c>
      <c r="AD11" s="11" t="s">
        <v>43</v>
      </c>
      <c r="AE11" s="12" t="s">
        <v>44</v>
      </c>
      <c r="AF11" s="14">
        <v>7.9772499999999996E-2</v>
      </c>
      <c r="AG11" s="11" t="s">
        <v>45</v>
      </c>
    </row>
    <row r="12" spans="1:33" x14ac:dyDescent="0.2">
      <c r="A12" s="8">
        <v>2330</v>
      </c>
      <c r="B12" s="9" t="s">
        <v>65</v>
      </c>
      <c r="C12" s="10">
        <v>43269</v>
      </c>
      <c r="D12" s="11">
        <v>96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82</v>
      </c>
      <c r="J12" s="12" t="s">
        <v>83</v>
      </c>
      <c r="K12" s="13" t="s">
        <v>39</v>
      </c>
      <c r="L12" s="11" t="str">
        <f>"000043"</f>
        <v>000043</v>
      </c>
      <c r="M12" s="10">
        <v>42111</v>
      </c>
      <c r="N12" s="11" t="str">
        <f>"000128"</f>
        <v>000128</v>
      </c>
      <c r="O12" s="10">
        <v>42635</v>
      </c>
      <c r="P12" s="11" t="str">
        <f>"000295"</f>
        <v>000295</v>
      </c>
      <c r="Q12" s="10">
        <v>42635</v>
      </c>
      <c r="R12" s="11">
        <v>15</v>
      </c>
      <c r="S12" s="11" t="str">
        <f>"002400"</f>
        <v>002400</v>
      </c>
      <c r="T12" s="10">
        <v>43262</v>
      </c>
      <c r="U12" s="14">
        <v>19.841830000000002</v>
      </c>
      <c r="V12" s="14">
        <v>2.5602900000000002</v>
      </c>
      <c r="W12" s="14">
        <v>17.28154</v>
      </c>
      <c r="X12" s="11">
        <v>90</v>
      </c>
      <c r="Y12" s="10">
        <v>43269</v>
      </c>
      <c r="Z12" s="11">
        <v>9663992007</v>
      </c>
      <c r="AA12" s="12" t="s">
        <v>84</v>
      </c>
      <c r="AB12" s="11" t="s">
        <v>41</v>
      </c>
      <c r="AC12" s="12" t="s">
        <v>42</v>
      </c>
      <c r="AD12" s="11" t="s">
        <v>43</v>
      </c>
      <c r="AE12" s="12" t="s">
        <v>44</v>
      </c>
      <c r="AF12" s="14">
        <v>0.19841830000000002</v>
      </c>
      <c r="AG12" s="11" t="s">
        <v>45</v>
      </c>
    </row>
    <row r="13" spans="1:33" x14ac:dyDescent="0.2">
      <c r="A13" s="8">
        <v>2561</v>
      </c>
      <c r="B13" s="9" t="s">
        <v>65</v>
      </c>
      <c r="C13" s="10">
        <v>43274</v>
      </c>
      <c r="D13" s="11">
        <v>96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85</v>
      </c>
      <c r="J13" s="12" t="s">
        <v>86</v>
      </c>
      <c r="K13" s="13" t="s">
        <v>56</v>
      </c>
      <c r="L13" s="11" t="str">
        <f>"000035"</f>
        <v>000035</v>
      </c>
      <c r="M13" s="10">
        <v>42111</v>
      </c>
      <c r="N13" s="11" t="str">
        <f>"000168"</f>
        <v>000168</v>
      </c>
      <c r="O13" s="10">
        <v>42671</v>
      </c>
      <c r="P13" s="11" t="str">
        <f>"000347"</f>
        <v>000347</v>
      </c>
      <c r="Q13" s="10">
        <v>42671</v>
      </c>
      <c r="R13" s="11">
        <v>15</v>
      </c>
      <c r="S13" s="11" t="str">
        <f>"002858"</f>
        <v>002858</v>
      </c>
      <c r="T13" s="10">
        <v>43273</v>
      </c>
      <c r="U13" s="14">
        <v>17.976680000000002</v>
      </c>
      <c r="V13" s="14">
        <v>2.4555600000000002</v>
      </c>
      <c r="W13" s="14">
        <v>15.52112</v>
      </c>
      <c r="X13" s="11">
        <v>99</v>
      </c>
      <c r="Y13" s="10">
        <v>43274</v>
      </c>
      <c r="Z13" s="11">
        <v>1234567890</v>
      </c>
      <c r="AA13" s="12" t="s">
        <v>87</v>
      </c>
      <c r="AB13" s="11" t="s">
        <v>41</v>
      </c>
      <c r="AC13" s="12" t="s">
        <v>42</v>
      </c>
      <c r="AD13" s="11" t="s">
        <v>43</v>
      </c>
      <c r="AE13" s="12" t="s">
        <v>44</v>
      </c>
      <c r="AF13" s="14">
        <v>0.1797668</v>
      </c>
      <c r="AG13" s="11" t="s">
        <v>45</v>
      </c>
    </row>
    <row r="14" spans="1:33" x14ac:dyDescent="0.2">
      <c r="A14" s="8">
        <v>2562</v>
      </c>
      <c r="B14" s="9" t="s">
        <v>65</v>
      </c>
      <c r="C14" s="10">
        <v>43274</v>
      </c>
      <c r="D14" s="11">
        <v>96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88</v>
      </c>
      <c r="J14" s="12" t="s">
        <v>89</v>
      </c>
      <c r="K14" s="13" t="s">
        <v>56</v>
      </c>
      <c r="L14" s="11" t="str">
        <f>"000036"</f>
        <v>000036</v>
      </c>
      <c r="M14" s="10">
        <v>42111</v>
      </c>
      <c r="N14" s="11" t="str">
        <f>"000167"</f>
        <v>000167</v>
      </c>
      <c r="O14" s="10">
        <v>42670</v>
      </c>
      <c r="P14" s="11" t="str">
        <f>"000348"</f>
        <v>000348</v>
      </c>
      <c r="Q14" s="10">
        <v>42671</v>
      </c>
      <c r="R14" s="11">
        <v>15</v>
      </c>
      <c r="S14" s="11" t="str">
        <f>"002859"</f>
        <v>002859</v>
      </c>
      <c r="T14" s="10">
        <v>43273</v>
      </c>
      <c r="U14" s="14">
        <v>17.976379999999999</v>
      </c>
      <c r="V14" s="14">
        <v>2.42862</v>
      </c>
      <c r="W14" s="14">
        <v>15.54776</v>
      </c>
      <c r="X14" s="11">
        <v>99</v>
      </c>
      <c r="Y14" s="10">
        <v>43274</v>
      </c>
      <c r="Z14" s="11">
        <v>1234567890</v>
      </c>
      <c r="AA14" s="12" t="s">
        <v>87</v>
      </c>
      <c r="AB14" s="11" t="s">
        <v>41</v>
      </c>
      <c r="AC14" s="12" t="s">
        <v>42</v>
      </c>
      <c r="AD14" s="11" t="s">
        <v>43</v>
      </c>
      <c r="AE14" s="12" t="s">
        <v>44</v>
      </c>
      <c r="AF14" s="14">
        <v>0.1797638</v>
      </c>
      <c r="AG14" s="11" t="s">
        <v>45</v>
      </c>
    </row>
    <row r="15" spans="1:33" x14ac:dyDescent="0.2">
      <c r="A15" s="8">
        <v>2563</v>
      </c>
      <c r="B15" s="9" t="s">
        <v>65</v>
      </c>
      <c r="C15" s="10">
        <v>43274</v>
      </c>
      <c r="D15" s="11">
        <v>96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90</v>
      </c>
      <c r="J15" s="12" t="s">
        <v>91</v>
      </c>
      <c r="K15" s="13" t="s">
        <v>68</v>
      </c>
      <c r="L15" s="11" t="str">
        <f>"000101"</f>
        <v>000101</v>
      </c>
      <c r="M15" s="10">
        <v>42887</v>
      </c>
      <c r="N15" s="11" t="str">
        <f>"00.001"</f>
        <v>00.001</v>
      </c>
      <c r="O15" s="10">
        <v>42671</v>
      </c>
      <c r="P15" s="11" t="str">
        <f>"000419"</f>
        <v>000419</v>
      </c>
      <c r="Q15" s="10">
        <v>42671</v>
      </c>
      <c r="R15" s="11">
        <v>16</v>
      </c>
      <c r="S15" s="11" t="str">
        <f>"002879"</f>
        <v>002879</v>
      </c>
      <c r="T15" s="10">
        <v>43273</v>
      </c>
      <c r="U15" s="14">
        <v>6.7400500000000001</v>
      </c>
      <c r="V15" s="14">
        <v>0.81166000000000005</v>
      </c>
      <c r="W15" s="14">
        <v>5.9283900000000003</v>
      </c>
      <c r="X15" s="11">
        <v>99</v>
      </c>
      <c r="Y15" s="10">
        <v>43274</v>
      </c>
      <c r="Z15" s="11">
        <v>9945417770</v>
      </c>
      <c r="AA15" s="12" t="s">
        <v>49</v>
      </c>
      <c r="AB15" s="11" t="s">
        <v>92</v>
      </c>
      <c r="AC15" s="12" t="s">
        <v>93</v>
      </c>
      <c r="AD15" s="11" t="s">
        <v>43</v>
      </c>
      <c r="AE15" s="12" t="s">
        <v>44</v>
      </c>
      <c r="AF15" s="14">
        <v>6.7400500000000002E-2</v>
      </c>
      <c r="AG15" s="11" t="s">
        <v>45</v>
      </c>
    </row>
    <row r="16" spans="1:33" x14ac:dyDescent="0.2">
      <c r="A16" s="8">
        <v>2564</v>
      </c>
      <c r="B16" s="9" t="s">
        <v>65</v>
      </c>
      <c r="C16" s="10">
        <v>43274</v>
      </c>
      <c r="D16" s="11">
        <v>96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94</v>
      </c>
      <c r="J16" s="12" t="s">
        <v>95</v>
      </c>
      <c r="K16" s="13" t="s">
        <v>56</v>
      </c>
      <c r="L16" s="11" t="str">
        <f>"000.97"</f>
        <v>000.97</v>
      </c>
      <c r="M16" s="10">
        <v>42639</v>
      </c>
      <c r="N16" s="11" t="str">
        <f>"00.030"</f>
        <v>00.030</v>
      </c>
      <c r="O16" s="10">
        <v>42671</v>
      </c>
      <c r="P16" s="11" t="str">
        <f>"000420"</f>
        <v>000420</v>
      </c>
      <c r="Q16" s="10">
        <v>42671</v>
      </c>
      <c r="R16" s="11">
        <v>16</v>
      </c>
      <c r="S16" s="11" t="str">
        <f>"002880"</f>
        <v>002880</v>
      </c>
      <c r="T16" s="10">
        <v>43273</v>
      </c>
      <c r="U16" s="14">
        <v>4.4942700000000002</v>
      </c>
      <c r="V16" s="14">
        <v>0.51798999999999995</v>
      </c>
      <c r="W16" s="14">
        <v>3.97628</v>
      </c>
      <c r="X16" s="11">
        <v>99</v>
      </c>
      <c r="Y16" s="10">
        <v>43274</v>
      </c>
      <c r="Z16" s="11">
        <v>9945417770</v>
      </c>
      <c r="AA16" s="12" t="s">
        <v>49</v>
      </c>
      <c r="AB16" s="11" t="s">
        <v>96</v>
      </c>
      <c r="AC16" s="12" t="s">
        <v>97</v>
      </c>
      <c r="AD16" s="11" t="s">
        <v>43</v>
      </c>
      <c r="AE16" s="12" t="s">
        <v>44</v>
      </c>
      <c r="AF16" s="14">
        <v>4.4942700000000002E-2</v>
      </c>
      <c r="AG16" s="11" t="s">
        <v>45</v>
      </c>
    </row>
    <row r="17" spans="1:33" x14ac:dyDescent="0.2">
      <c r="A17" s="8">
        <v>2565</v>
      </c>
      <c r="B17" s="9" t="s">
        <v>65</v>
      </c>
      <c r="C17" s="10">
        <v>43274</v>
      </c>
      <c r="D17" s="11">
        <v>96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98</v>
      </c>
      <c r="J17" s="12" t="s">
        <v>99</v>
      </c>
      <c r="K17" s="13" t="s">
        <v>56</v>
      </c>
      <c r="L17" s="11" t="str">
        <f>"000102"</f>
        <v>000102</v>
      </c>
      <c r="M17" s="10">
        <v>42639</v>
      </c>
      <c r="N17" s="11" t="str">
        <f>"00.031"</f>
        <v>00.031</v>
      </c>
      <c r="O17" s="10">
        <v>42671</v>
      </c>
      <c r="P17" s="11" t="str">
        <f>"000421"</f>
        <v>000421</v>
      </c>
      <c r="Q17" s="10">
        <v>42671</v>
      </c>
      <c r="R17" s="11">
        <v>16</v>
      </c>
      <c r="S17" s="11" t="str">
        <f>"002881"</f>
        <v>002881</v>
      </c>
      <c r="T17" s="10">
        <v>43273</v>
      </c>
      <c r="U17" s="14">
        <v>4.90951</v>
      </c>
      <c r="V17" s="14">
        <v>0.56344000000000005</v>
      </c>
      <c r="W17" s="14">
        <v>4.3460700000000001</v>
      </c>
      <c r="X17" s="11">
        <v>99</v>
      </c>
      <c r="Y17" s="10">
        <v>43274</v>
      </c>
      <c r="Z17" s="11">
        <v>9945417770</v>
      </c>
      <c r="AA17" s="12" t="s">
        <v>49</v>
      </c>
      <c r="AB17" s="11" t="s">
        <v>96</v>
      </c>
      <c r="AC17" s="12" t="s">
        <v>97</v>
      </c>
      <c r="AD17" s="11" t="s">
        <v>43</v>
      </c>
      <c r="AE17" s="12" t="s">
        <v>44</v>
      </c>
      <c r="AF17" s="14">
        <v>4.9095100000000003E-2</v>
      </c>
      <c r="AG17" s="11" t="s">
        <v>45</v>
      </c>
    </row>
    <row r="18" spans="1:33" x14ac:dyDescent="0.2">
      <c r="A18" s="8">
        <v>2566</v>
      </c>
      <c r="B18" s="9" t="s">
        <v>65</v>
      </c>
      <c r="C18" s="10">
        <v>43274</v>
      </c>
      <c r="D18" s="11">
        <v>96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100</v>
      </c>
      <c r="J18" s="12" t="s">
        <v>101</v>
      </c>
      <c r="K18" s="13" t="s">
        <v>68</v>
      </c>
      <c r="L18" s="11" t="str">
        <f>"000.99"</f>
        <v>000.99</v>
      </c>
      <c r="M18" s="10">
        <v>42639</v>
      </c>
      <c r="N18" s="11" t="str">
        <f>"00.0.3"</f>
        <v>00.0.3</v>
      </c>
      <c r="O18" s="10">
        <v>42671</v>
      </c>
      <c r="P18" s="11" t="str">
        <f>"000422"</f>
        <v>000422</v>
      </c>
      <c r="Q18" s="10">
        <v>42671</v>
      </c>
      <c r="R18" s="11">
        <v>16</v>
      </c>
      <c r="S18" s="11" t="str">
        <f>"002882"</f>
        <v>002882</v>
      </c>
      <c r="T18" s="10">
        <v>43273</v>
      </c>
      <c r="U18" s="14">
        <v>8.98447</v>
      </c>
      <c r="V18" s="14">
        <v>1.0448900000000001</v>
      </c>
      <c r="W18" s="14">
        <v>7.9395800000000003</v>
      </c>
      <c r="X18" s="11">
        <v>99</v>
      </c>
      <c r="Y18" s="10">
        <v>43274</v>
      </c>
      <c r="Z18" s="11">
        <v>9945417770</v>
      </c>
      <c r="AA18" s="12" t="s">
        <v>49</v>
      </c>
      <c r="AB18" s="11" t="s">
        <v>41</v>
      </c>
      <c r="AC18" s="12" t="s">
        <v>42</v>
      </c>
      <c r="AD18" s="11" t="s">
        <v>43</v>
      </c>
      <c r="AE18" s="12" t="s">
        <v>44</v>
      </c>
      <c r="AF18" s="14">
        <v>8.98447E-2</v>
      </c>
      <c r="AG18" s="11" t="s">
        <v>45</v>
      </c>
    </row>
    <row r="19" spans="1:33" x14ac:dyDescent="0.2">
      <c r="A19" s="8">
        <v>2712</v>
      </c>
      <c r="B19" s="9" t="s">
        <v>65</v>
      </c>
      <c r="C19" s="10">
        <v>43278</v>
      </c>
      <c r="D19" s="11">
        <v>96</v>
      </c>
      <c r="E19" s="12" t="s">
        <v>34</v>
      </c>
      <c r="F19" s="12" t="s">
        <v>35</v>
      </c>
      <c r="G19" s="12" t="s">
        <v>35</v>
      </c>
      <c r="H19" s="12" t="s">
        <v>36</v>
      </c>
      <c r="I19" s="11" t="s">
        <v>102</v>
      </c>
      <c r="J19" s="12" t="s">
        <v>103</v>
      </c>
      <c r="K19" s="13" t="s">
        <v>68</v>
      </c>
      <c r="L19" s="11" t="str">
        <f>"000048"</f>
        <v>000048</v>
      </c>
      <c r="M19" s="10">
        <v>43263</v>
      </c>
      <c r="N19" s="11" t="str">
        <f>"000039"</f>
        <v>000039</v>
      </c>
      <c r="O19" s="10">
        <v>43263</v>
      </c>
      <c r="P19" s="11" t="str">
        <f>"000047"</f>
        <v>000047</v>
      </c>
      <c r="Q19" s="10">
        <v>43263</v>
      </c>
      <c r="R19" s="11">
        <v>17</v>
      </c>
      <c r="S19" s="11" t="str">
        <f>"003054"</f>
        <v>003054</v>
      </c>
      <c r="T19" s="10">
        <v>43277</v>
      </c>
      <c r="U19" s="14">
        <v>11.958780000000001</v>
      </c>
      <c r="V19" s="14">
        <v>1.2676099999999999</v>
      </c>
      <c r="W19" s="14">
        <v>10.69117</v>
      </c>
      <c r="X19" s="11">
        <v>102</v>
      </c>
      <c r="Y19" s="10">
        <v>43278</v>
      </c>
      <c r="Z19" s="11">
        <v>9483161122</v>
      </c>
      <c r="AA19" s="12" t="s">
        <v>73</v>
      </c>
      <c r="AB19" s="11" t="s">
        <v>104</v>
      </c>
      <c r="AC19" s="12" t="s">
        <v>105</v>
      </c>
      <c r="AD19" s="11" t="s">
        <v>43</v>
      </c>
      <c r="AE19" s="12" t="s">
        <v>44</v>
      </c>
      <c r="AF19" s="14">
        <v>0.11958780000000001</v>
      </c>
      <c r="AG19" s="11" t="s">
        <v>76</v>
      </c>
    </row>
    <row r="20" spans="1:33" x14ac:dyDescent="0.2">
      <c r="A20" s="8">
        <v>3177</v>
      </c>
      <c r="B20" s="9" t="s">
        <v>106</v>
      </c>
      <c r="C20" s="10">
        <v>43290</v>
      </c>
      <c r="D20" s="11">
        <v>96</v>
      </c>
      <c r="E20" s="12" t="s">
        <v>34</v>
      </c>
      <c r="F20" s="12" t="s">
        <v>35</v>
      </c>
      <c r="G20" s="12" t="s">
        <v>35</v>
      </c>
      <c r="H20" s="12" t="s">
        <v>36</v>
      </c>
      <c r="I20" s="11" t="s">
        <v>107</v>
      </c>
      <c r="J20" s="12" t="s">
        <v>108</v>
      </c>
      <c r="K20" s="13" t="s">
        <v>39</v>
      </c>
      <c r="L20" s="11" t="str">
        <f>"000.01"</f>
        <v>000.01</v>
      </c>
      <c r="M20" s="10">
        <v>42668</v>
      </c>
      <c r="N20" s="11" t="str">
        <f>"000190"</f>
        <v>000190</v>
      </c>
      <c r="O20" s="10">
        <v>42719</v>
      </c>
      <c r="P20" s="11" t="str">
        <f>"000465"</f>
        <v>000465</v>
      </c>
      <c r="Q20" s="10">
        <v>42720</v>
      </c>
      <c r="R20" s="11">
        <v>16</v>
      </c>
      <c r="S20" s="11" t="str">
        <f>"003411"</f>
        <v>003411</v>
      </c>
      <c r="T20" s="10">
        <v>43288</v>
      </c>
      <c r="U20" s="14">
        <v>8.4019700000000004</v>
      </c>
      <c r="V20" s="14">
        <v>1.12663</v>
      </c>
      <c r="W20" s="14">
        <v>7.2753399999999999</v>
      </c>
      <c r="X20" s="11">
        <v>117</v>
      </c>
      <c r="Y20" s="10">
        <v>43290</v>
      </c>
      <c r="Z20" s="11">
        <v>1234567890</v>
      </c>
      <c r="AA20" s="12" t="s">
        <v>109</v>
      </c>
      <c r="AB20" s="11" t="s">
        <v>41</v>
      </c>
      <c r="AC20" s="12" t="s">
        <v>42</v>
      </c>
      <c r="AD20" s="11" t="s">
        <v>43</v>
      </c>
      <c r="AE20" s="12" t="s">
        <v>44</v>
      </c>
      <c r="AF20" s="14">
        <v>8.4019700000000003E-2</v>
      </c>
      <c r="AG20" s="11" t="s">
        <v>45</v>
      </c>
    </row>
    <row r="21" spans="1:33" x14ac:dyDescent="0.2">
      <c r="A21" s="8">
        <v>4681</v>
      </c>
      <c r="B21" s="9" t="s">
        <v>110</v>
      </c>
      <c r="C21" s="10">
        <v>43325</v>
      </c>
      <c r="D21" s="11">
        <v>96</v>
      </c>
      <c r="E21" s="12" t="s">
        <v>34</v>
      </c>
      <c r="F21" s="12" t="s">
        <v>35</v>
      </c>
      <c r="G21" s="12" t="s">
        <v>35</v>
      </c>
      <c r="H21" s="12" t="s">
        <v>36</v>
      </c>
      <c r="I21" s="11" t="s">
        <v>111</v>
      </c>
      <c r="J21" s="12" t="s">
        <v>112</v>
      </c>
      <c r="K21" s="13" t="s">
        <v>56</v>
      </c>
      <c r="L21" s="11" t="str">
        <f>"000058"</f>
        <v>000058</v>
      </c>
      <c r="M21" s="10">
        <v>43270</v>
      </c>
      <c r="N21" s="11" t="str">
        <f>"000045"</f>
        <v>000045</v>
      </c>
      <c r="O21" s="10">
        <v>43271</v>
      </c>
      <c r="P21" s="11" t="str">
        <f>"000055"</f>
        <v>000055</v>
      </c>
      <c r="Q21" s="10">
        <v>43271</v>
      </c>
      <c r="R21" s="11">
        <v>18</v>
      </c>
      <c r="S21" s="11" t="str">
        <f>"004213"</f>
        <v>004213</v>
      </c>
      <c r="T21" s="10">
        <v>43304</v>
      </c>
      <c r="U21" s="14">
        <v>49.989460000000001</v>
      </c>
      <c r="V21" s="14">
        <v>5.6647600000000002</v>
      </c>
      <c r="W21" s="14">
        <v>44.3247</v>
      </c>
      <c r="X21" s="11">
        <v>166</v>
      </c>
      <c r="Y21" s="10">
        <v>43325</v>
      </c>
      <c r="Z21" s="11">
        <v>9483161122</v>
      </c>
      <c r="AA21" s="12" t="s">
        <v>113</v>
      </c>
      <c r="AB21" s="11" t="s">
        <v>114</v>
      </c>
      <c r="AC21" s="12" t="s">
        <v>115</v>
      </c>
      <c r="AD21" s="11" t="s">
        <v>43</v>
      </c>
      <c r="AE21" s="12" t="s">
        <v>44</v>
      </c>
      <c r="AF21" s="14">
        <v>0.49989460000000002</v>
      </c>
      <c r="AG21" s="11" t="s">
        <v>76</v>
      </c>
    </row>
    <row r="22" spans="1:33" x14ac:dyDescent="0.2">
      <c r="A22" s="8">
        <v>4682</v>
      </c>
      <c r="B22" s="9" t="s">
        <v>110</v>
      </c>
      <c r="C22" s="10">
        <v>43325</v>
      </c>
      <c r="D22" s="11">
        <v>96</v>
      </c>
      <c r="E22" s="12" t="s">
        <v>34</v>
      </c>
      <c r="F22" s="12" t="s">
        <v>35</v>
      </c>
      <c r="G22" s="12" t="s">
        <v>35</v>
      </c>
      <c r="H22" s="12" t="s">
        <v>36</v>
      </c>
      <c r="I22" s="11" t="s">
        <v>116</v>
      </c>
      <c r="J22" s="12" t="s">
        <v>117</v>
      </c>
      <c r="K22" s="13" t="s">
        <v>56</v>
      </c>
      <c r="L22" s="11" t="str">
        <f>"000056"</f>
        <v>000056</v>
      </c>
      <c r="M22" s="10">
        <v>43270</v>
      </c>
      <c r="N22" s="11" t="str">
        <f>"000043"</f>
        <v>000043</v>
      </c>
      <c r="O22" s="10">
        <v>43271</v>
      </c>
      <c r="P22" s="11" t="str">
        <f>"000056"</f>
        <v>000056</v>
      </c>
      <c r="Q22" s="10">
        <v>43271</v>
      </c>
      <c r="R22" s="11">
        <v>18</v>
      </c>
      <c r="S22" s="11" t="str">
        <f>"004214"</f>
        <v>004214</v>
      </c>
      <c r="T22" s="10">
        <v>43304</v>
      </c>
      <c r="U22" s="14">
        <v>49.954500000000003</v>
      </c>
      <c r="V22" s="14">
        <v>5.6664700000000003</v>
      </c>
      <c r="W22" s="14">
        <v>44.288029999999999</v>
      </c>
      <c r="X22" s="11">
        <v>166</v>
      </c>
      <c r="Y22" s="10">
        <v>43325</v>
      </c>
      <c r="Z22" s="11">
        <v>9483161122</v>
      </c>
      <c r="AA22" s="12" t="s">
        <v>113</v>
      </c>
      <c r="AB22" s="11" t="s">
        <v>114</v>
      </c>
      <c r="AC22" s="12" t="s">
        <v>115</v>
      </c>
      <c r="AD22" s="11" t="s">
        <v>43</v>
      </c>
      <c r="AE22" s="12" t="s">
        <v>44</v>
      </c>
      <c r="AF22" s="14">
        <v>0.49954500000000002</v>
      </c>
      <c r="AG22" s="11" t="s">
        <v>76</v>
      </c>
    </row>
    <row r="23" spans="1:33" x14ac:dyDescent="0.2">
      <c r="A23" s="8">
        <v>4683</v>
      </c>
      <c r="B23" s="9" t="s">
        <v>110</v>
      </c>
      <c r="C23" s="10">
        <v>43325</v>
      </c>
      <c r="D23" s="11">
        <v>96</v>
      </c>
      <c r="E23" s="12" t="s">
        <v>34</v>
      </c>
      <c r="F23" s="12" t="s">
        <v>35</v>
      </c>
      <c r="G23" s="12" t="s">
        <v>35</v>
      </c>
      <c r="H23" s="12" t="s">
        <v>36</v>
      </c>
      <c r="I23" s="11" t="s">
        <v>118</v>
      </c>
      <c r="J23" s="12" t="s">
        <v>119</v>
      </c>
      <c r="K23" s="13" t="s">
        <v>56</v>
      </c>
      <c r="L23" s="11" t="str">
        <f>"000057"</f>
        <v>000057</v>
      </c>
      <c r="M23" s="10">
        <v>43270</v>
      </c>
      <c r="N23" s="11" t="str">
        <f>"000044"</f>
        <v>000044</v>
      </c>
      <c r="O23" s="10">
        <v>43271</v>
      </c>
      <c r="P23" s="11" t="str">
        <f>"000057"</f>
        <v>000057</v>
      </c>
      <c r="Q23" s="10">
        <v>43271</v>
      </c>
      <c r="R23" s="11">
        <v>18</v>
      </c>
      <c r="S23" s="11" t="str">
        <f>"004215"</f>
        <v>004215</v>
      </c>
      <c r="T23" s="10">
        <v>43304</v>
      </c>
      <c r="U23" s="14">
        <v>49.89123</v>
      </c>
      <c r="V23" s="14">
        <v>5.6613699999999998</v>
      </c>
      <c r="W23" s="14">
        <v>44.229860000000002</v>
      </c>
      <c r="X23" s="11">
        <v>166</v>
      </c>
      <c r="Y23" s="10">
        <v>43325</v>
      </c>
      <c r="Z23" s="11">
        <v>9483161122</v>
      </c>
      <c r="AA23" s="12" t="s">
        <v>113</v>
      </c>
      <c r="AB23" s="11" t="s">
        <v>114</v>
      </c>
      <c r="AC23" s="12" t="s">
        <v>115</v>
      </c>
      <c r="AD23" s="11" t="s">
        <v>43</v>
      </c>
      <c r="AE23" s="12" t="s">
        <v>44</v>
      </c>
      <c r="AF23" s="14">
        <v>0.49891229999999998</v>
      </c>
      <c r="AG23" s="11" t="s">
        <v>76</v>
      </c>
    </row>
    <row r="24" spans="1:33" x14ac:dyDescent="0.2">
      <c r="A24" s="8">
        <v>4684</v>
      </c>
      <c r="B24" s="9" t="s">
        <v>110</v>
      </c>
      <c r="C24" s="10">
        <v>43325</v>
      </c>
      <c r="D24" s="11">
        <v>96</v>
      </c>
      <c r="E24" s="12" t="s">
        <v>34</v>
      </c>
      <c r="F24" s="12" t="s">
        <v>35</v>
      </c>
      <c r="G24" s="12" t="s">
        <v>35</v>
      </c>
      <c r="H24" s="12" t="s">
        <v>36</v>
      </c>
      <c r="I24" s="11" t="s">
        <v>120</v>
      </c>
      <c r="J24" s="12" t="s">
        <v>121</v>
      </c>
      <c r="K24" s="13" t="s">
        <v>56</v>
      </c>
      <c r="L24" s="11" t="str">
        <f>"000055"</f>
        <v>000055</v>
      </c>
      <c r="M24" s="10">
        <v>43270</v>
      </c>
      <c r="N24" s="11" t="str">
        <f>"000042"</f>
        <v>000042</v>
      </c>
      <c r="O24" s="10">
        <v>43271</v>
      </c>
      <c r="P24" s="11" t="str">
        <f>"000054"</f>
        <v>000054</v>
      </c>
      <c r="Q24" s="10">
        <v>43271</v>
      </c>
      <c r="R24" s="11">
        <v>18</v>
      </c>
      <c r="S24" s="11" t="str">
        <f>"004216"</f>
        <v>004216</v>
      </c>
      <c r="T24" s="10">
        <v>43304</v>
      </c>
      <c r="U24" s="14">
        <v>49.990589999999997</v>
      </c>
      <c r="V24" s="14">
        <v>5.6619000000000002</v>
      </c>
      <c r="W24" s="14">
        <v>44.328690000000002</v>
      </c>
      <c r="X24" s="11">
        <v>166</v>
      </c>
      <c r="Y24" s="10">
        <v>43325</v>
      </c>
      <c r="Z24" s="11">
        <v>9483161122</v>
      </c>
      <c r="AA24" s="12" t="s">
        <v>113</v>
      </c>
      <c r="AB24" s="11" t="s">
        <v>114</v>
      </c>
      <c r="AC24" s="12" t="s">
        <v>115</v>
      </c>
      <c r="AD24" s="11" t="s">
        <v>43</v>
      </c>
      <c r="AE24" s="12" t="s">
        <v>44</v>
      </c>
      <c r="AF24" s="14">
        <v>0.49990589999999996</v>
      </c>
      <c r="AG24" s="11" t="s">
        <v>76</v>
      </c>
    </row>
    <row r="25" spans="1:33" x14ac:dyDescent="0.2">
      <c r="A25" s="8">
        <v>5467</v>
      </c>
      <c r="B25" s="9" t="s">
        <v>122</v>
      </c>
      <c r="C25" s="10">
        <v>43357</v>
      </c>
      <c r="D25" s="11">
        <v>96</v>
      </c>
      <c r="E25" s="12" t="s">
        <v>34</v>
      </c>
      <c r="F25" s="12" t="s">
        <v>35</v>
      </c>
      <c r="G25" s="12" t="s">
        <v>35</v>
      </c>
      <c r="H25" s="12" t="s">
        <v>36</v>
      </c>
      <c r="I25" s="11" t="s">
        <v>123</v>
      </c>
      <c r="J25" s="12" t="s">
        <v>124</v>
      </c>
      <c r="K25" s="13" t="s">
        <v>68</v>
      </c>
      <c r="L25" s="11" t="str">
        <f>"000018"</f>
        <v>000018</v>
      </c>
      <c r="M25" s="10">
        <v>43069</v>
      </c>
      <c r="N25" s="11" t="str">
        <f>"000010"</f>
        <v>000010</v>
      </c>
      <c r="O25" s="10">
        <v>43069</v>
      </c>
      <c r="P25" s="11" t="str">
        <f>"000016"</f>
        <v>000016</v>
      </c>
      <c r="Q25" s="10">
        <v>43069</v>
      </c>
      <c r="R25" s="11">
        <v>16</v>
      </c>
      <c r="S25" s="11" t="str">
        <f>"005694"</f>
        <v>005694</v>
      </c>
      <c r="T25" s="10">
        <v>43350</v>
      </c>
      <c r="U25" s="14">
        <v>9.7530699999999992</v>
      </c>
      <c r="V25" s="14">
        <v>1.07131</v>
      </c>
      <c r="W25" s="14">
        <v>8.6817600000000006</v>
      </c>
      <c r="X25" s="11">
        <v>204</v>
      </c>
      <c r="Y25" s="10">
        <v>43357</v>
      </c>
      <c r="Z25" s="11">
        <v>9483161122</v>
      </c>
      <c r="AA25" s="12" t="s">
        <v>73</v>
      </c>
      <c r="AB25" s="11" t="s">
        <v>50</v>
      </c>
      <c r="AC25" s="12" t="s">
        <v>51</v>
      </c>
      <c r="AD25" s="11" t="s">
        <v>43</v>
      </c>
      <c r="AE25" s="12" t="s">
        <v>44</v>
      </c>
      <c r="AF25" s="14">
        <f t="shared" ref="AF25:AF41" si="0">U25/100</f>
        <v>9.7530699999999998E-2</v>
      </c>
      <c r="AG25" s="11" t="s">
        <v>45</v>
      </c>
    </row>
    <row r="26" spans="1:33" x14ac:dyDescent="0.2">
      <c r="A26" s="8">
        <v>6118</v>
      </c>
      <c r="B26" s="9" t="s">
        <v>125</v>
      </c>
      <c r="C26" s="10">
        <v>43385</v>
      </c>
      <c r="D26" s="11">
        <v>96</v>
      </c>
      <c r="E26" s="12" t="s">
        <v>34</v>
      </c>
      <c r="F26" s="12" t="s">
        <v>35</v>
      </c>
      <c r="G26" s="12" t="s">
        <v>35</v>
      </c>
      <c r="H26" s="12" t="s">
        <v>36</v>
      </c>
      <c r="I26" s="11" t="s">
        <v>126</v>
      </c>
      <c r="J26" s="12" t="s">
        <v>127</v>
      </c>
      <c r="K26" s="13" t="s">
        <v>56</v>
      </c>
      <c r="L26" s="11" t="str">
        <f>"000086"</f>
        <v>000086</v>
      </c>
      <c r="M26" s="10">
        <v>43299</v>
      </c>
      <c r="N26" s="11" t="str">
        <f>"000062"</f>
        <v>000062</v>
      </c>
      <c r="O26" s="10">
        <v>43299</v>
      </c>
      <c r="P26" s="11" t="str">
        <f>"000085"</f>
        <v>000085</v>
      </c>
      <c r="Q26" s="10">
        <v>43299</v>
      </c>
      <c r="R26" s="11">
        <v>18</v>
      </c>
      <c r="S26" s="11" t="str">
        <f>"006367"</f>
        <v>006367</v>
      </c>
      <c r="T26" s="10">
        <v>43380</v>
      </c>
      <c r="U26" s="14">
        <v>110.93659</v>
      </c>
      <c r="V26" s="14">
        <v>10.99142</v>
      </c>
      <c r="W26" s="14">
        <v>99.945170000000005</v>
      </c>
      <c r="X26" s="11">
        <v>233</v>
      </c>
      <c r="Y26" s="10">
        <v>43385</v>
      </c>
      <c r="Z26" s="11">
        <v>9483161122</v>
      </c>
      <c r="AA26" s="12" t="s">
        <v>113</v>
      </c>
      <c r="AB26" s="11" t="s">
        <v>128</v>
      </c>
      <c r="AC26" s="12" t="s">
        <v>129</v>
      </c>
      <c r="AD26" s="11" t="s">
        <v>43</v>
      </c>
      <c r="AE26" s="12" t="s">
        <v>130</v>
      </c>
      <c r="AF26" s="14">
        <f t="shared" si="0"/>
        <v>1.1093659</v>
      </c>
      <c r="AG26" s="11" t="s">
        <v>76</v>
      </c>
    </row>
    <row r="27" spans="1:33" x14ac:dyDescent="0.2">
      <c r="A27" s="8">
        <v>7002</v>
      </c>
      <c r="B27" s="9" t="s">
        <v>125</v>
      </c>
      <c r="C27" s="10">
        <v>43403</v>
      </c>
      <c r="D27" s="11">
        <v>96</v>
      </c>
      <c r="E27" s="12" t="s">
        <v>34</v>
      </c>
      <c r="F27" s="12" t="s">
        <v>35</v>
      </c>
      <c r="G27" s="12" t="s">
        <v>35</v>
      </c>
      <c r="H27" s="12" t="s">
        <v>36</v>
      </c>
      <c r="I27" s="11" t="s">
        <v>131</v>
      </c>
      <c r="J27" s="12" t="s">
        <v>132</v>
      </c>
      <c r="K27" s="13" t="s">
        <v>56</v>
      </c>
      <c r="L27" s="11" t="str">
        <f>"000267"</f>
        <v>000267</v>
      </c>
      <c r="M27" s="10">
        <v>42843</v>
      </c>
      <c r="N27" s="11" t="str">
        <f>"000154"</f>
        <v>000154</v>
      </c>
      <c r="O27" s="10">
        <v>42882</v>
      </c>
      <c r="P27" s="11" t="str">
        <f>"000154"</f>
        <v>000154</v>
      </c>
      <c r="Q27" s="10">
        <v>42882</v>
      </c>
      <c r="R27" s="11">
        <v>17</v>
      </c>
      <c r="S27" s="11" t="str">
        <f>"006773"</f>
        <v>006773</v>
      </c>
      <c r="T27" s="10">
        <v>43389</v>
      </c>
      <c r="U27" s="14">
        <v>7.85175</v>
      </c>
      <c r="V27" s="14">
        <v>0.95069999999999999</v>
      </c>
      <c r="W27" s="14">
        <v>6.9010499999999997</v>
      </c>
      <c r="X27" s="11">
        <v>255</v>
      </c>
      <c r="Y27" s="10">
        <v>43403</v>
      </c>
      <c r="Z27" s="11">
        <v>9945417770</v>
      </c>
      <c r="AA27" s="12" t="s">
        <v>49</v>
      </c>
      <c r="AB27" s="11" t="s">
        <v>41</v>
      </c>
      <c r="AC27" s="12" t="s">
        <v>42</v>
      </c>
      <c r="AD27" s="11" t="s">
        <v>43</v>
      </c>
      <c r="AE27" s="12" t="s">
        <v>130</v>
      </c>
      <c r="AF27" s="14">
        <f t="shared" si="0"/>
        <v>7.8517500000000004E-2</v>
      </c>
      <c r="AG27" s="11" t="s">
        <v>45</v>
      </c>
    </row>
    <row r="28" spans="1:33" x14ac:dyDescent="0.2">
      <c r="A28" s="8">
        <v>7515</v>
      </c>
      <c r="B28" s="9" t="s">
        <v>133</v>
      </c>
      <c r="C28" s="10">
        <v>43437</v>
      </c>
      <c r="D28" s="11">
        <v>96</v>
      </c>
      <c r="E28" s="12" t="s">
        <v>34</v>
      </c>
      <c r="F28" s="12" t="s">
        <v>35</v>
      </c>
      <c r="G28" s="12" t="s">
        <v>35</v>
      </c>
      <c r="H28" s="12" t="s">
        <v>36</v>
      </c>
      <c r="I28" s="11" t="s">
        <v>134</v>
      </c>
      <c r="J28" s="12" t="s">
        <v>135</v>
      </c>
      <c r="K28" s="13" t="s">
        <v>48</v>
      </c>
      <c r="L28" s="11" t="str">
        <f>"000064"</f>
        <v>000064</v>
      </c>
      <c r="M28" s="10">
        <v>43158</v>
      </c>
      <c r="N28" s="11" t="str">
        <f>"000047"</f>
        <v>000047</v>
      </c>
      <c r="O28" s="10">
        <v>43158</v>
      </c>
      <c r="P28" s="11" t="str">
        <f>"000061"</f>
        <v>000061</v>
      </c>
      <c r="Q28" s="10">
        <v>43158</v>
      </c>
      <c r="R28" s="11">
        <v>15</v>
      </c>
      <c r="S28" s="11" t="str">
        <f>"007550"</f>
        <v>007550</v>
      </c>
      <c r="T28" s="10">
        <v>43426</v>
      </c>
      <c r="U28" s="14">
        <v>8.8616399999999995</v>
      </c>
      <c r="V28" s="14">
        <v>0.93932000000000004</v>
      </c>
      <c r="W28" s="14">
        <v>7.92232</v>
      </c>
      <c r="X28" s="11">
        <v>280</v>
      </c>
      <c r="Y28" s="10">
        <v>43437</v>
      </c>
      <c r="Z28" s="11">
        <v>9483161122</v>
      </c>
      <c r="AA28" s="12" t="s">
        <v>73</v>
      </c>
      <c r="AB28" s="11" t="s">
        <v>50</v>
      </c>
      <c r="AC28" s="12" t="s">
        <v>51</v>
      </c>
      <c r="AD28" s="11" t="s">
        <v>43</v>
      </c>
      <c r="AE28" s="12" t="s">
        <v>130</v>
      </c>
      <c r="AF28" s="14">
        <f t="shared" si="0"/>
        <v>8.8616399999999998E-2</v>
      </c>
      <c r="AG28" s="11" t="s">
        <v>45</v>
      </c>
    </row>
    <row r="29" spans="1:33" x14ac:dyDescent="0.2">
      <c r="A29" s="8">
        <v>7516</v>
      </c>
      <c r="B29" s="9" t="s">
        <v>133</v>
      </c>
      <c r="C29" s="10">
        <v>43437</v>
      </c>
      <c r="D29" s="11">
        <v>96</v>
      </c>
      <c r="E29" s="12" t="s">
        <v>34</v>
      </c>
      <c r="F29" s="12" t="s">
        <v>35</v>
      </c>
      <c r="G29" s="12" t="s">
        <v>35</v>
      </c>
      <c r="H29" s="12" t="s">
        <v>36</v>
      </c>
      <c r="I29" s="11" t="s">
        <v>136</v>
      </c>
      <c r="J29" s="12" t="s">
        <v>137</v>
      </c>
      <c r="K29" s="13" t="s">
        <v>48</v>
      </c>
      <c r="L29" s="11" t="str">
        <f>"000063"</f>
        <v>000063</v>
      </c>
      <c r="M29" s="10">
        <v>43158</v>
      </c>
      <c r="N29" s="11" t="str">
        <f>"000048"</f>
        <v>000048</v>
      </c>
      <c r="O29" s="10">
        <v>43158</v>
      </c>
      <c r="P29" s="11" t="str">
        <f>"000062"</f>
        <v>000062</v>
      </c>
      <c r="Q29" s="10">
        <v>43158</v>
      </c>
      <c r="R29" s="11">
        <v>15</v>
      </c>
      <c r="S29" s="11" t="str">
        <f>"007551"</f>
        <v>007551</v>
      </c>
      <c r="T29" s="10">
        <v>43426</v>
      </c>
      <c r="U29" s="14">
        <v>9.9547399999999993</v>
      </c>
      <c r="V29" s="14">
        <v>1.05518</v>
      </c>
      <c r="W29" s="14">
        <v>8.8995599999999992</v>
      </c>
      <c r="X29" s="11">
        <v>280</v>
      </c>
      <c r="Y29" s="10">
        <v>43437</v>
      </c>
      <c r="Z29" s="11">
        <v>9483161122</v>
      </c>
      <c r="AA29" s="12" t="s">
        <v>73</v>
      </c>
      <c r="AB29" s="11" t="s">
        <v>50</v>
      </c>
      <c r="AC29" s="12" t="s">
        <v>51</v>
      </c>
      <c r="AD29" s="11" t="s">
        <v>43</v>
      </c>
      <c r="AE29" s="12" t="s">
        <v>130</v>
      </c>
      <c r="AF29" s="14">
        <f t="shared" si="0"/>
        <v>9.9547399999999994E-2</v>
      </c>
      <c r="AG29" s="11" t="s">
        <v>45</v>
      </c>
    </row>
    <row r="30" spans="1:33" x14ac:dyDescent="0.2">
      <c r="A30" s="8">
        <v>7517</v>
      </c>
      <c r="B30" s="9" t="s">
        <v>133</v>
      </c>
      <c r="C30" s="10">
        <v>43437</v>
      </c>
      <c r="D30" s="11">
        <v>96</v>
      </c>
      <c r="E30" s="12" t="s">
        <v>34</v>
      </c>
      <c r="F30" s="12" t="s">
        <v>35</v>
      </c>
      <c r="G30" s="12" t="s">
        <v>35</v>
      </c>
      <c r="H30" s="12" t="s">
        <v>36</v>
      </c>
      <c r="I30" s="11" t="s">
        <v>138</v>
      </c>
      <c r="J30" s="12" t="s">
        <v>139</v>
      </c>
      <c r="K30" s="13" t="s">
        <v>140</v>
      </c>
      <c r="L30" s="11" t="str">
        <f>"000065"</f>
        <v>000065</v>
      </c>
      <c r="M30" s="10">
        <v>43158</v>
      </c>
      <c r="N30" s="11" t="str">
        <f>"000049"</f>
        <v>000049</v>
      </c>
      <c r="O30" s="10">
        <v>43158</v>
      </c>
      <c r="P30" s="11" t="str">
        <f>"000063"</f>
        <v>000063</v>
      </c>
      <c r="Q30" s="10">
        <v>43158</v>
      </c>
      <c r="R30" s="11">
        <v>15</v>
      </c>
      <c r="S30" s="11" t="str">
        <f>"007552"</f>
        <v>007552</v>
      </c>
      <c r="T30" s="10">
        <v>43426</v>
      </c>
      <c r="U30" s="14">
        <v>8.8484599999999993</v>
      </c>
      <c r="V30" s="14">
        <v>0.93791999999999998</v>
      </c>
      <c r="W30" s="14">
        <v>7.9105400000000001</v>
      </c>
      <c r="X30" s="11">
        <v>280</v>
      </c>
      <c r="Y30" s="10">
        <v>43437</v>
      </c>
      <c r="Z30" s="11">
        <v>9483161122</v>
      </c>
      <c r="AA30" s="12" t="s">
        <v>73</v>
      </c>
      <c r="AB30" s="11" t="s">
        <v>50</v>
      </c>
      <c r="AC30" s="12" t="s">
        <v>51</v>
      </c>
      <c r="AD30" s="11" t="s">
        <v>43</v>
      </c>
      <c r="AE30" s="12" t="s">
        <v>130</v>
      </c>
      <c r="AF30" s="14">
        <f t="shared" si="0"/>
        <v>8.8484599999999997E-2</v>
      </c>
      <c r="AG30" s="11" t="s">
        <v>45</v>
      </c>
    </row>
    <row r="31" spans="1:33" x14ac:dyDescent="0.2">
      <c r="A31" s="8">
        <v>8023</v>
      </c>
      <c r="B31" s="9" t="s">
        <v>133</v>
      </c>
      <c r="C31" s="10">
        <v>43455</v>
      </c>
      <c r="D31" s="11">
        <v>96</v>
      </c>
      <c r="E31" s="12" t="s">
        <v>34</v>
      </c>
      <c r="F31" s="12" t="s">
        <v>35</v>
      </c>
      <c r="G31" s="12" t="s">
        <v>35</v>
      </c>
      <c r="H31" s="12" t="s">
        <v>36</v>
      </c>
      <c r="I31" s="11" t="s">
        <v>141</v>
      </c>
      <c r="J31" s="12" t="s">
        <v>142</v>
      </c>
      <c r="K31" s="13" t="s">
        <v>39</v>
      </c>
      <c r="L31" s="11" t="str">
        <f>"000170"</f>
        <v>000170</v>
      </c>
      <c r="M31" s="10">
        <v>42803</v>
      </c>
      <c r="N31" s="11" t="str">
        <f>"0000.5"</f>
        <v>0000.5</v>
      </c>
      <c r="O31" s="10">
        <v>42895</v>
      </c>
      <c r="P31" s="11" t="str">
        <f>"000216"</f>
        <v>000216</v>
      </c>
      <c r="Q31" s="10">
        <v>42895</v>
      </c>
      <c r="R31" s="11">
        <v>17</v>
      </c>
      <c r="S31" s="11" t="str">
        <f>"008130"</f>
        <v>008130</v>
      </c>
      <c r="T31" s="10">
        <v>43454</v>
      </c>
      <c r="U31" s="14">
        <v>16.918900000000001</v>
      </c>
      <c r="V31" s="14">
        <v>2.2538800000000001</v>
      </c>
      <c r="W31" s="14">
        <v>14.66502</v>
      </c>
      <c r="X31" s="11">
        <v>301</v>
      </c>
      <c r="Y31" s="10">
        <v>43455</v>
      </c>
      <c r="Z31" s="11">
        <v>9945417770</v>
      </c>
      <c r="AA31" s="12" t="s">
        <v>57</v>
      </c>
      <c r="AB31" s="11" t="s">
        <v>41</v>
      </c>
      <c r="AC31" s="12" t="s">
        <v>42</v>
      </c>
      <c r="AD31" s="11" t="s">
        <v>43</v>
      </c>
      <c r="AE31" s="12" t="s">
        <v>130</v>
      </c>
      <c r="AF31" s="14">
        <f t="shared" si="0"/>
        <v>0.16918900000000001</v>
      </c>
      <c r="AG31" s="11" t="s">
        <v>45</v>
      </c>
    </row>
    <row r="32" spans="1:33" x14ac:dyDescent="0.2">
      <c r="A32" s="8">
        <v>8024</v>
      </c>
      <c r="B32" s="9" t="s">
        <v>133</v>
      </c>
      <c r="C32" s="10">
        <v>43455</v>
      </c>
      <c r="D32" s="11">
        <v>96</v>
      </c>
      <c r="E32" s="12" t="s">
        <v>34</v>
      </c>
      <c r="F32" s="12" t="s">
        <v>35</v>
      </c>
      <c r="G32" s="12" t="s">
        <v>35</v>
      </c>
      <c r="H32" s="12" t="s">
        <v>36</v>
      </c>
      <c r="I32" s="11" t="s">
        <v>143</v>
      </c>
      <c r="J32" s="12" t="s">
        <v>144</v>
      </c>
      <c r="K32" s="13" t="s">
        <v>39</v>
      </c>
      <c r="L32" s="11" t="str">
        <f>"000219"</f>
        <v>000219</v>
      </c>
      <c r="M32" s="10">
        <v>42849</v>
      </c>
      <c r="N32" s="11" t="str">
        <f>"000.04"</f>
        <v>000.04</v>
      </c>
      <c r="O32" s="10">
        <v>42895</v>
      </c>
      <c r="P32" s="11" t="str">
        <f>"000217"</f>
        <v>000217</v>
      </c>
      <c r="Q32" s="10">
        <v>42895</v>
      </c>
      <c r="R32" s="11">
        <v>17</v>
      </c>
      <c r="S32" s="11" t="str">
        <f>"008131"</f>
        <v>008131</v>
      </c>
      <c r="T32" s="10">
        <v>43454</v>
      </c>
      <c r="U32" s="14">
        <v>16.496459999999999</v>
      </c>
      <c r="V32" s="14">
        <v>2.21604</v>
      </c>
      <c r="W32" s="14">
        <v>14.280419999999999</v>
      </c>
      <c r="X32" s="11">
        <v>301</v>
      </c>
      <c r="Y32" s="10">
        <v>43455</v>
      </c>
      <c r="Z32" s="11">
        <v>9945417770</v>
      </c>
      <c r="AA32" s="12" t="s">
        <v>57</v>
      </c>
      <c r="AB32" s="11" t="s">
        <v>41</v>
      </c>
      <c r="AC32" s="12" t="s">
        <v>42</v>
      </c>
      <c r="AD32" s="11" t="s">
        <v>43</v>
      </c>
      <c r="AE32" s="12" t="s">
        <v>130</v>
      </c>
      <c r="AF32" s="14">
        <f t="shared" si="0"/>
        <v>0.16496459999999999</v>
      </c>
      <c r="AG32" s="11" t="s">
        <v>45</v>
      </c>
    </row>
    <row r="33" spans="1:33" x14ac:dyDescent="0.2">
      <c r="A33" s="8">
        <v>8025</v>
      </c>
      <c r="B33" s="9" t="s">
        <v>133</v>
      </c>
      <c r="C33" s="10">
        <v>43455</v>
      </c>
      <c r="D33" s="11">
        <v>96</v>
      </c>
      <c r="E33" s="12" t="s">
        <v>34</v>
      </c>
      <c r="F33" s="12" t="s">
        <v>35</v>
      </c>
      <c r="G33" s="12" t="s">
        <v>35</v>
      </c>
      <c r="H33" s="12" t="s">
        <v>36</v>
      </c>
      <c r="I33" s="11" t="s">
        <v>145</v>
      </c>
      <c r="J33" s="12" t="s">
        <v>146</v>
      </c>
      <c r="K33" s="13" t="s">
        <v>39</v>
      </c>
      <c r="L33" s="11" t="str">
        <f>"000220"</f>
        <v>000220</v>
      </c>
      <c r="M33" s="10">
        <v>42849</v>
      </c>
      <c r="N33" s="11" t="str">
        <f>"0000.3"</f>
        <v>0000.3</v>
      </c>
      <c r="O33" s="10">
        <v>42895</v>
      </c>
      <c r="P33" s="11" t="str">
        <f>"000218"</f>
        <v>000218</v>
      </c>
      <c r="Q33" s="10">
        <v>42895</v>
      </c>
      <c r="R33" s="11">
        <v>17</v>
      </c>
      <c r="S33" s="11" t="str">
        <f>"008132"</f>
        <v>008132</v>
      </c>
      <c r="T33" s="10">
        <v>43454</v>
      </c>
      <c r="U33" s="14">
        <v>9.4174000000000007</v>
      </c>
      <c r="V33" s="14">
        <v>1.2200800000000001</v>
      </c>
      <c r="W33" s="14">
        <v>8.1973199999999995</v>
      </c>
      <c r="X33" s="11">
        <v>301</v>
      </c>
      <c r="Y33" s="10">
        <v>43455</v>
      </c>
      <c r="Z33" s="11">
        <v>9945417770</v>
      </c>
      <c r="AA33" s="12" t="s">
        <v>57</v>
      </c>
      <c r="AB33" s="11" t="s">
        <v>41</v>
      </c>
      <c r="AC33" s="12" t="s">
        <v>42</v>
      </c>
      <c r="AD33" s="11" t="s">
        <v>43</v>
      </c>
      <c r="AE33" s="12" t="s">
        <v>130</v>
      </c>
      <c r="AF33" s="14">
        <f t="shared" si="0"/>
        <v>9.4174000000000008E-2</v>
      </c>
      <c r="AG33" s="11" t="s">
        <v>45</v>
      </c>
    </row>
    <row r="34" spans="1:33" x14ac:dyDescent="0.2">
      <c r="A34" s="8">
        <v>8323</v>
      </c>
      <c r="B34" s="9" t="s">
        <v>147</v>
      </c>
      <c r="C34" s="10">
        <v>43467</v>
      </c>
      <c r="D34" s="11">
        <v>96</v>
      </c>
      <c r="E34" s="12" t="s">
        <v>34</v>
      </c>
      <c r="F34" s="12" t="s">
        <v>35</v>
      </c>
      <c r="G34" s="12" t="s">
        <v>35</v>
      </c>
      <c r="H34" s="12" t="s">
        <v>36</v>
      </c>
      <c r="I34" s="11" t="s">
        <v>148</v>
      </c>
      <c r="J34" s="12" t="s">
        <v>149</v>
      </c>
      <c r="K34" s="13" t="s">
        <v>48</v>
      </c>
      <c r="L34" s="11" t="str">
        <f>"000004"</f>
        <v>000004</v>
      </c>
      <c r="M34" s="10">
        <v>43200</v>
      </c>
      <c r="N34" s="11" t="str">
        <f>"000003"</f>
        <v>000003</v>
      </c>
      <c r="O34" s="10">
        <v>43200</v>
      </c>
      <c r="P34" s="11" t="str">
        <f>"000004"</f>
        <v>000004</v>
      </c>
      <c r="Q34" s="10">
        <v>43200</v>
      </c>
      <c r="R34" s="11"/>
      <c r="S34" s="11" t="str">
        <f>"008209"</f>
        <v>008209</v>
      </c>
      <c r="T34" s="10">
        <v>43455</v>
      </c>
      <c r="U34" s="14">
        <v>14.98922</v>
      </c>
      <c r="V34" s="14">
        <v>1.6066199999999999</v>
      </c>
      <c r="W34" s="14">
        <v>13.3826</v>
      </c>
      <c r="X34" s="11">
        <v>310</v>
      </c>
      <c r="Y34" s="10">
        <v>43467</v>
      </c>
      <c r="Z34" s="11">
        <v>9483161122</v>
      </c>
      <c r="AA34" s="12" t="s">
        <v>73</v>
      </c>
      <c r="AB34" s="11" t="s">
        <v>50</v>
      </c>
      <c r="AC34" s="12" t="s">
        <v>51</v>
      </c>
      <c r="AD34" s="11" t="s">
        <v>43</v>
      </c>
      <c r="AE34" s="12" t="s">
        <v>130</v>
      </c>
      <c r="AF34" s="14">
        <f t="shared" si="0"/>
        <v>0.1498922</v>
      </c>
      <c r="AG34" s="11" t="s">
        <v>76</v>
      </c>
    </row>
    <row r="35" spans="1:33" x14ac:dyDescent="0.2">
      <c r="A35" s="8">
        <v>8913</v>
      </c>
      <c r="B35" s="9" t="s">
        <v>150</v>
      </c>
      <c r="C35" s="10">
        <v>43497</v>
      </c>
      <c r="D35" s="11">
        <v>96</v>
      </c>
      <c r="E35" s="12" t="s">
        <v>34</v>
      </c>
      <c r="F35" s="12" t="s">
        <v>35</v>
      </c>
      <c r="G35" s="12" t="s">
        <v>35</v>
      </c>
      <c r="H35" s="12" t="s">
        <v>36</v>
      </c>
      <c r="I35" s="11" t="s">
        <v>151</v>
      </c>
      <c r="J35" s="12" t="s">
        <v>152</v>
      </c>
      <c r="K35" s="13" t="s">
        <v>48</v>
      </c>
      <c r="L35" s="11" t="str">
        <f>"000127"</f>
        <v>000127</v>
      </c>
      <c r="M35" s="10">
        <v>43333</v>
      </c>
      <c r="N35" s="11" t="str">
        <f>"000094"</f>
        <v>000094</v>
      </c>
      <c r="O35" s="10">
        <v>43333</v>
      </c>
      <c r="P35" s="11" t="str">
        <f>"000128"</f>
        <v>000128</v>
      </c>
      <c r="Q35" s="10">
        <v>43333</v>
      </c>
      <c r="R35" s="11"/>
      <c r="S35" s="11" t="str">
        <f>"008754"</f>
        <v>008754</v>
      </c>
      <c r="T35" s="10">
        <v>43482</v>
      </c>
      <c r="U35" s="14">
        <v>12.152950000000001</v>
      </c>
      <c r="V35" s="14">
        <v>1.32073</v>
      </c>
      <c r="W35" s="14">
        <v>10.83222</v>
      </c>
      <c r="X35" s="11">
        <v>337</v>
      </c>
      <c r="Y35" s="10">
        <v>43497</v>
      </c>
      <c r="Z35" s="11">
        <v>8023330521</v>
      </c>
      <c r="AA35" s="12" t="s">
        <v>153</v>
      </c>
      <c r="AB35" s="11" t="s">
        <v>114</v>
      </c>
      <c r="AC35" s="12" t="s">
        <v>115</v>
      </c>
      <c r="AD35" s="11" t="s">
        <v>43</v>
      </c>
      <c r="AE35" s="12" t="s">
        <v>130</v>
      </c>
      <c r="AF35" s="14">
        <f t="shared" si="0"/>
        <v>0.12152950000000001</v>
      </c>
      <c r="AG35" s="11" t="s">
        <v>76</v>
      </c>
    </row>
    <row r="36" spans="1:33" x14ac:dyDescent="0.2">
      <c r="A36" s="8">
        <v>8914</v>
      </c>
      <c r="B36" s="9" t="s">
        <v>150</v>
      </c>
      <c r="C36" s="10">
        <v>43497</v>
      </c>
      <c r="D36" s="11">
        <v>96</v>
      </c>
      <c r="E36" s="12" t="s">
        <v>34</v>
      </c>
      <c r="F36" s="12" t="s">
        <v>35</v>
      </c>
      <c r="G36" s="12" t="s">
        <v>35</v>
      </c>
      <c r="H36" s="12" t="s">
        <v>36</v>
      </c>
      <c r="I36" s="11" t="s">
        <v>154</v>
      </c>
      <c r="J36" s="12" t="s">
        <v>155</v>
      </c>
      <c r="K36" s="13" t="s">
        <v>48</v>
      </c>
      <c r="L36" s="11" t="str">
        <f>"000128"</f>
        <v>000128</v>
      </c>
      <c r="M36" s="10">
        <v>43333</v>
      </c>
      <c r="N36" s="11" t="str">
        <f>"000093"</f>
        <v>000093</v>
      </c>
      <c r="O36" s="10">
        <v>43333</v>
      </c>
      <c r="P36" s="11" t="str">
        <f>"000127"</f>
        <v>000127</v>
      </c>
      <c r="Q36" s="10">
        <v>43333</v>
      </c>
      <c r="R36" s="11"/>
      <c r="S36" s="11" t="str">
        <f>"008755"</f>
        <v>008755</v>
      </c>
      <c r="T36" s="10">
        <v>43482</v>
      </c>
      <c r="U36" s="14">
        <v>1.6647700000000001</v>
      </c>
      <c r="V36" s="14">
        <v>0.17649999999999999</v>
      </c>
      <c r="W36" s="14">
        <v>1.48827</v>
      </c>
      <c r="X36" s="11">
        <v>337</v>
      </c>
      <c r="Y36" s="10">
        <v>43497</v>
      </c>
      <c r="Z36" s="11">
        <v>8023330521</v>
      </c>
      <c r="AA36" s="12" t="s">
        <v>153</v>
      </c>
      <c r="AB36" s="11" t="s">
        <v>114</v>
      </c>
      <c r="AC36" s="12" t="s">
        <v>115</v>
      </c>
      <c r="AD36" s="11" t="s">
        <v>43</v>
      </c>
      <c r="AE36" s="12" t="s">
        <v>130</v>
      </c>
      <c r="AF36" s="14">
        <f t="shared" si="0"/>
        <v>1.6647700000000001E-2</v>
      </c>
      <c r="AG36" s="11" t="s">
        <v>76</v>
      </c>
    </row>
    <row r="37" spans="1:33" x14ac:dyDescent="0.2">
      <c r="A37" s="8">
        <v>9223</v>
      </c>
      <c r="B37" s="9" t="s">
        <v>150</v>
      </c>
      <c r="C37" s="10">
        <v>43516</v>
      </c>
      <c r="D37" s="11">
        <v>96</v>
      </c>
      <c r="E37" s="12" t="s">
        <v>34</v>
      </c>
      <c r="F37" s="12" t="s">
        <v>35</v>
      </c>
      <c r="G37" s="12" t="s">
        <v>35</v>
      </c>
      <c r="H37" s="12" t="s">
        <v>36</v>
      </c>
      <c r="I37" s="11" t="s">
        <v>156</v>
      </c>
      <c r="J37" s="12" t="s">
        <v>157</v>
      </c>
      <c r="K37" s="13" t="s">
        <v>39</v>
      </c>
      <c r="L37" s="11" t="str">
        <f>"000261"</f>
        <v>000261</v>
      </c>
      <c r="M37" s="10">
        <v>43509</v>
      </c>
      <c r="N37" s="11" t="str">
        <f>"000179"</f>
        <v>000179</v>
      </c>
      <c r="O37" s="10">
        <v>43511</v>
      </c>
      <c r="P37" s="11" t="str">
        <f>"000255"</f>
        <v>000255</v>
      </c>
      <c r="Q37" s="10">
        <v>43511</v>
      </c>
      <c r="R37" s="11"/>
      <c r="S37" s="11" t="str">
        <f>"009296"</f>
        <v>009296</v>
      </c>
      <c r="T37" s="10">
        <v>43516</v>
      </c>
      <c r="U37" s="14">
        <v>109.81215</v>
      </c>
      <c r="V37" s="14">
        <v>13.0951</v>
      </c>
      <c r="W37" s="14">
        <v>96.71705</v>
      </c>
      <c r="X37" s="11">
        <v>354</v>
      </c>
      <c r="Y37" s="10">
        <v>43516</v>
      </c>
      <c r="Z37" s="11">
        <v>9483161122</v>
      </c>
      <c r="AA37" s="12" t="s">
        <v>113</v>
      </c>
      <c r="AB37" s="11" t="s">
        <v>74</v>
      </c>
      <c r="AC37" s="12" t="s">
        <v>75</v>
      </c>
      <c r="AD37" s="11" t="s">
        <v>43</v>
      </c>
      <c r="AE37" s="12" t="s">
        <v>130</v>
      </c>
      <c r="AF37" s="14">
        <f t="shared" si="0"/>
        <v>1.0981215</v>
      </c>
      <c r="AG37" s="11" t="s">
        <v>76</v>
      </c>
    </row>
    <row r="38" spans="1:33" x14ac:dyDescent="0.2">
      <c r="A38" s="8">
        <v>9224</v>
      </c>
      <c r="B38" s="9" t="s">
        <v>150</v>
      </c>
      <c r="C38" s="10">
        <v>43516</v>
      </c>
      <c r="D38" s="11">
        <v>96</v>
      </c>
      <c r="E38" s="12" t="s">
        <v>34</v>
      </c>
      <c r="F38" s="12" t="s">
        <v>35</v>
      </c>
      <c r="G38" s="12" t="s">
        <v>35</v>
      </c>
      <c r="H38" s="12" t="s">
        <v>36</v>
      </c>
      <c r="I38" s="11" t="s">
        <v>158</v>
      </c>
      <c r="J38" s="12" t="s">
        <v>159</v>
      </c>
      <c r="K38" s="13" t="s">
        <v>39</v>
      </c>
      <c r="L38" s="11" t="str">
        <f>"000263"</f>
        <v>000263</v>
      </c>
      <c r="M38" s="10">
        <v>43511</v>
      </c>
      <c r="N38" s="11" t="str">
        <f>"000181"</f>
        <v>000181</v>
      </c>
      <c r="O38" s="10">
        <v>43511</v>
      </c>
      <c r="P38" s="11" t="str">
        <f>"000257"</f>
        <v>000257</v>
      </c>
      <c r="Q38" s="10">
        <v>43511</v>
      </c>
      <c r="R38" s="11"/>
      <c r="S38" s="11" t="str">
        <f>"009297"</f>
        <v>009297</v>
      </c>
      <c r="T38" s="10">
        <v>43516</v>
      </c>
      <c r="U38" s="14">
        <v>109.83454999999999</v>
      </c>
      <c r="V38" s="14">
        <v>13.0977</v>
      </c>
      <c r="W38" s="14">
        <v>96.736850000000004</v>
      </c>
      <c r="X38" s="11">
        <v>354</v>
      </c>
      <c r="Y38" s="10">
        <v>43516</v>
      </c>
      <c r="Z38" s="11">
        <v>9483161122</v>
      </c>
      <c r="AA38" s="12" t="s">
        <v>113</v>
      </c>
      <c r="AB38" s="11" t="s">
        <v>74</v>
      </c>
      <c r="AC38" s="12" t="s">
        <v>75</v>
      </c>
      <c r="AD38" s="11" t="s">
        <v>43</v>
      </c>
      <c r="AE38" s="12" t="s">
        <v>130</v>
      </c>
      <c r="AF38" s="14">
        <f t="shared" si="0"/>
        <v>1.0983455</v>
      </c>
      <c r="AG38" s="11" t="s">
        <v>76</v>
      </c>
    </row>
    <row r="39" spans="1:33" x14ac:dyDescent="0.2">
      <c r="A39" s="8">
        <v>9225</v>
      </c>
      <c r="B39" s="9" t="s">
        <v>150</v>
      </c>
      <c r="C39" s="10">
        <v>43516</v>
      </c>
      <c r="D39" s="11">
        <v>96</v>
      </c>
      <c r="E39" s="12" t="s">
        <v>34</v>
      </c>
      <c r="F39" s="12" t="s">
        <v>35</v>
      </c>
      <c r="G39" s="12" t="s">
        <v>35</v>
      </c>
      <c r="H39" s="12" t="s">
        <v>36</v>
      </c>
      <c r="I39" s="11" t="s">
        <v>160</v>
      </c>
      <c r="J39" s="12" t="s">
        <v>161</v>
      </c>
      <c r="K39" s="13" t="s">
        <v>39</v>
      </c>
      <c r="L39" s="11" t="str">
        <f>"000262"</f>
        <v>000262</v>
      </c>
      <c r="M39" s="10">
        <v>43509</v>
      </c>
      <c r="N39" s="11" t="str">
        <f>"000180"</f>
        <v>000180</v>
      </c>
      <c r="O39" s="10">
        <v>43511</v>
      </c>
      <c r="P39" s="11" t="str">
        <f>"000256"</f>
        <v>000256</v>
      </c>
      <c r="Q39" s="10">
        <v>43511</v>
      </c>
      <c r="R39" s="11"/>
      <c r="S39" s="11" t="str">
        <f>"009298"</f>
        <v>009298</v>
      </c>
      <c r="T39" s="10">
        <v>43516</v>
      </c>
      <c r="U39" s="14">
        <v>220.88775000000001</v>
      </c>
      <c r="V39" s="14">
        <v>25.980049999999999</v>
      </c>
      <c r="W39" s="14">
        <v>194.90770000000001</v>
      </c>
      <c r="X39" s="11">
        <v>354</v>
      </c>
      <c r="Y39" s="10">
        <v>43516</v>
      </c>
      <c r="Z39" s="11">
        <v>9483161122</v>
      </c>
      <c r="AA39" s="12" t="s">
        <v>113</v>
      </c>
      <c r="AB39" s="11" t="s">
        <v>74</v>
      </c>
      <c r="AC39" s="12" t="s">
        <v>75</v>
      </c>
      <c r="AD39" s="11" t="s">
        <v>43</v>
      </c>
      <c r="AE39" s="12" t="s">
        <v>130</v>
      </c>
      <c r="AF39" s="14">
        <f t="shared" si="0"/>
        <v>2.2088775000000003</v>
      </c>
      <c r="AG39" s="11" t="s">
        <v>76</v>
      </c>
    </row>
    <row r="40" spans="1:33" x14ac:dyDescent="0.2">
      <c r="A40" s="8">
        <v>9395</v>
      </c>
      <c r="B40" s="9" t="s">
        <v>150</v>
      </c>
      <c r="C40" s="10">
        <v>43521</v>
      </c>
      <c r="D40" s="11">
        <v>96</v>
      </c>
      <c r="E40" s="12" t="s">
        <v>34</v>
      </c>
      <c r="F40" s="12" t="s">
        <v>35</v>
      </c>
      <c r="G40" s="12" t="s">
        <v>35</v>
      </c>
      <c r="H40" s="12" t="s">
        <v>36</v>
      </c>
      <c r="I40" s="11" t="s">
        <v>162</v>
      </c>
      <c r="J40" s="12" t="s">
        <v>163</v>
      </c>
      <c r="K40" s="13" t="s">
        <v>68</v>
      </c>
      <c r="L40" s="11" t="str">
        <f>"000039"</f>
        <v>000039</v>
      </c>
      <c r="M40" s="10">
        <v>43246</v>
      </c>
      <c r="N40" s="11" t="str">
        <f>"000030"</f>
        <v>000030</v>
      </c>
      <c r="O40" s="10">
        <v>43246</v>
      </c>
      <c r="P40" s="11" t="str">
        <f>"000038"</f>
        <v>000038</v>
      </c>
      <c r="Q40" s="10">
        <v>43246</v>
      </c>
      <c r="R40" s="11"/>
      <c r="S40" s="11" t="str">
        <f>"009413"</f>
        <v>009413</v>
      </c>
      <c r="T40" s="10">
        <v>43518</v>
      </c>
      <c r="U40" s="14">
        <v>44.612960000000001</v>
      </c>
      <c r="V40" s="14">
        <v>4.9424900000000003</v>
      </c>
      <c r="W40" s="14">
        <v>39.670470000000002</v>
      </c>
      <c r="X40" s="11">
        <v>360</v>
      </c>
      <c r="Y40" s="10">
        <v>43521</v>
      </c>
      <c r="Z40" s="11">
        <v>9483161122</v>
      </c>
      <c r="AA40" s="12" t="s">
        <v>73</v>
      </c>
      <c r="AB40" s="11" t="s">
        <v>80</v>
      </c>
      <c r="AC40" s="12" t="s">
        <v>81</v>
      </c>
      <c r="AD40" s="11" t="s">
        <v>43</v>
      </c>
      <c r="AE40" s="12" t="s">
        <v>130</v>
      </c>
      <c r="AF40" s="14">
        <f t="shared" si="0"/>
        <v>0.44612960000000002</v>
      </c>
      <c r="AG40" s="11" t="s">
        <v>76</v>
      </c>
    </row>
    <row r="41" spans="1:33" x14ac:dyDescent="0.2">
      <c r="A41" s="8">
        <v>9510</v>
      </c>
      <c r="B41" s="9" t="s">
        <v>164</v>
      </c>
      <c r="C41" s="10">
        <v>43531</v>
      </c>
      <c r="D41" s="11">
        <v>96</v>
      </c>
      <c r="E41" s="12" t="s">
        <v>34</v>
      </c>
      <c r="F41" s="12" t="s">
        <v>35</v>
      </c>
      <c r="G41" s="12" t="s">
        <v>35</v>
      </c>
      <c r="H41" s="12" t="s">
        <v>36</v>
      </c>
      <c r="I41" s="11" t="s">
        <v>165</v>
      </c>
      <c r="J41" s="12" t="s">
        <v>166</v>
      </c>
      <c r="K41" s="13" t="s">
        <v>167</v>
      </c>
      <c r="L41" s="11" t="str">
        <f>"000248"</f>
        <v>000248</v>
      </c>
      <c r="M41" s="10">
        <v>43497</v>
      </c>
      <c r="N41" s="11" t="str">
        <f>"000170"</f>
        <v>000170</v>
      </c>
      <c r="O41" s="10">
        <v>43497</v>
      </c>
      <c r="P41" s="11" t="str">
        <f>"000250"</f>
        <v>000250</v>
      </c>
      <c r="Q41" s="10">
        <v>43503</v>
      </c>
      <c r="R41" s="11"/>
      <c r="S41" s="11" t="str">
        <f>"009622"</f>
        <v>009622</v>
      </c>
      <c r="T41" s="10">
        <v>43529</v>
      </c>
      <c r="U41" s="14">
        <v>9.9508200000000002</v>
      </c>
      <c r="V41" s="14">
        <v>1.25745</v>
      </c>
      <c r="W41" s="14">
        <v>8.6933699999999998</v>
      </c>
      <c r="X41" s="11">
        <v>369</v>
      </c>
      <c r="Y41" s="10">
        <v>43531</v>
      </c>
      <c r="Z41" s="11">
        <v>9483161122</v>
      </c>
      <c r="AA41" s="12" t="s">
        <v>113</v>
      </c>
      <c r="AB41" s="11" t="s">
        <v>104</v>
      </c>
      <c r="AC41" s="12" t="s">
        <v>105</v>
      </c>
      <c r="AD41" s="11" t="s">
        <v>43</v>
      </c>
      <c r="AE41" s="12" t="s">
        <v>130</v>
      </c>
      <c r="AF41" s="14">
        <f t="shared" si="0"/>
        <v>9.9508200000000005E-2</v>
      </c>
      <c r="AG41" s="11" t="s">
        <v>76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2019-06-13T07:56:44Z</dcterms:modified>
</cp:coreProperties>
</file>