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H28" i="1"/>
  <c r="J28" i="1"/>
  <c r="L28" i="1"/>
  <c r="O28" i="1"/>
  <c r="H29" i="1"/>
  <c r="J29" i="1"/>
  <c r="L29" i="1"/>
  <c r="O29" i="1"/>
  <c r="H30" i="1"/>
  <c r="J30" i="1"/>
  <c r="L30" i="1"/>
  <c r="O30" i="1"/>
  <c r="H31" i="1"/>
  <c r="J31" i="1"/>
  <c r="L31" i="1"/>
  <c r="O31" i="1"/>
  <c r="H32" i="1"/>
  <c r="J32" i="1"/>
  <c r="L32" i="1"/>
  <c r="O32" i="1"/>
  <c r="H33" i="1"/>
  <c r="J33" i="1"/>
  <c r="L33" i="1"/>
  <c r="O33" i="1"/>
  <c r="H34" i="1"/>
  <c r="J34" i="1"/>
  <c r="L34" i="1"/>
  <c r="O34" i="1"/>
  <c r="H35" i="1"/>
  <c r="J35" i="1"/>
  <c r="L35" i="1"/>
  <c r="O35" i="1"/>
  <c r="H36" i="1"/>
  <c r="J36" i="1"/>
  <c r="L36" i="1"/>
  <c r="O36" i="1"/>
  <c r="H37" i="1"/>
  <c r="J37" i="1"/>
  <c r="L37" i="1"/>
  <c r="O37" i="1"/>
  <c r="H38" i="1"/>
  <c r="J38" i="1"/>
  <c r="L38" i="1"/>
  <c r="O38" i="1"/>
  <c r="H39" i="1"/>
  <c r="J39" i="1"/>
  <c r="L39" i="1"/>
  <c r="O39" i="1"/>
  <c r="H40" i="1"/>
  <c r="J40" i="1"/>
  <c r="L40" i="1"/>
  <c r="O40" i="1"/>
  <c r="H41" i="1"/>
  <c r="J41" i="1"/>
  <c r="L41" i="1"/>
  <c r="O41" i="1"/>
  <c r="H42" i="1"/>
  <c r="J42" i="1"/>
  <c r="L42" i="1"/>
  <c r="O42" i="1"/>
  <c r="H43" i="1"/>
  <c r="J43" i="1"/>
  <c r="L43" i="1"/>
  <c r="O43" i="1"/>
  <c r="H44" i="1"/>
  <c r="J44" i="1"/>
  <c r="L44" i="1"/>
  <c r="O44" i="1"/>
  <c r="H45" i="1"/>
  <c r="J45" i="1"/>
  <c r="L45" i="1"/>
  <c r="O45" i="1"/>
  <c r="H46" i="1"/>
  <c r="J46" i="1"/>
  <c r="L46" i="1"/>
  <c r="O46" i="1"/>
  <c r="H47" i="1"/>
  <c r="J47" i="1"/>
  <c r="L47" i="1"/>
  <c r="O47" i="1"/>
  <c r="H48" i="1"/>
  <c r="J48" i="1"/>
  <c r="L48" i="1"/>
  <c r="O48" i="1"/>
  <c r="H49" i="1"/>
  <c r="J49" i="1"/>
  <c r="L49" i="1"/>
  <c r="O49" i="1"/>
  <c r="H50" i="1"/>
  <c r="J50" i="1"/>
  <c r="L50" i="1"/>
  <c r="O50" i="1"/>
  <c r="H51" i="1"/>
  <c r="J51" i="1"/>
  <c r="L51" i="1"/>
  <c r="O51" i="1"/>
  <c r="H52" i="1"/>
  <c r="J52" i="1"/>
  <c r="L52" i="1"/>
  <c r="O52" i="1"/>
  <c r="H53" i="1"/>
  <c r="J53" i="1"/>
  <c r="L53" i="1"/>
  <c r="O53" i="1"/>
  <c r="H54" i="1"/>
  <c r="J54" i="1"/>
  <c r="L54" i="1"/>
  <c r="O54" i="1"/>
  <c r="H55" i="1"/>
  <c r="J55" i="1"/>
  <c r="L55" i="1"/>
  <c r="O55" i="1"/>
  <c r="H56" i="1"/>
  <c r="J56" i="1"/>
  <c r="L56" i="1"/>
  <c r="O56" i="1"/>
  <c r="H57" i="1"/>
  <c r="J57" i="1"/>
  <c r="L57" i="1"/>
  <c r="O57" i="1"/>
  <c r="H58" i="1"/>
  <c r="J58" i="1"/>
  <c r="L58" i="1"/>
  <c r="O58" i="1"/>
  <c r="H59" i="1"/>
  <c r="J59" i="1"/>
  <c r="L59" i="1"/>
  <c r="O59" i="1"/>
  <c r="H60" i="1"/>
  <c r="J60" i="1"/>
  <c r="L60" i="1"/>
  <c r="O60" i="1"/>
  <c r="H61" i="1"/>
  <c r="J61" i="1"/>
  <c r="L61" i="1"/>
  <c r="O61" i="1"/>
  <c r="H62" i="1"/>
  <c r="J62" i="1"/>
  <c r="L62" i="1"/>
  <c r="O62" i="1"/>
  <c r="H63" i="1"/>
  <c r="J63" i="1"/>
  <c r="L63" i="1"/>
  <c r="O63" i="1"/>
  <c r="H64" i="1"/>
  <c r="J64" i="1"/>
  <c r="L64" i="1"/>
  <c r="O64" i="1"/>
  <c r="H65" i="1"/>
  <c r="J65" i="1"/>
  <c r="L65" i="1"/>
  <c r="O65" i="1"/>
  <c r="H66" i="1"/>
  <c r="J66" i="1"/>
  <c r="L66" i="1"/>
  <c r="O66" i="1"/>
  <c r="H67" i="1"/>
  <c r="J67" i="1"/>
  <c r="L67" i="1"/>
  <c r="O67" i="1"/>
  <c r="H68" i="1"/>
  <c r="J68" i="1"/>
  <c r="L68" i="1"/>
  <c r="O68" i="1"/>
  <c r="H69" i="1"/>
  <c r="J69" i="1"/>
  <c r="L69" i="1"/>
  <c r="O69" i="1"/>
  <c r="H70" i="1"/>
  <c r="J70" i="1"/>
  <c r="L70" i="1"/>
  <c r="O70" i="1"/>
  <c r="H71" i="1"/>
  <c r="J71" i="1"/>
  <c r="L71" i="1"/>
  <c r="O71" i="1"/>
  <c r="H72" i="1"/>
  <c r="J72" i="1"/>
  <c r="L72" i="1"/>
  <c r="O72" i="1"/>
  <c r="H73" i="1"/>
  <c r="J73" i="1"/>
  <c r="L73" i="1"/>
  <c r="O73" i="1"/>
  <c r="H74" i="1"/>
  <c r="J74" i="1"/>
  <c r="L74" i="1"/>
  <c r="O74" i="1"/>
  <c r="H75" i="1"/>
  <c r="J75" i="1"/>
  <c r="L75" i="1"/>
  <c r="O75" i="1"/>
  <c r="H76" i="1"/>
  <c r="J76" i="1"/>
  <c r="L76" i="1"/>
  <c r="O76" i="1"/>
  <c r="H77" i="1"/>
  <c r="J77" i="1"/>
  <c r="L77" i="1"/>
  <c r="O77" i="1"/>
  <c r="H78" i="1"/>
  <c r="J78" i="1"/>
  <c r="L78" i="1"/>
  <c r="O78" i="1"/>
  <c r="H79" i="1"/>
  <c r="J79" i="1"/>
  <c r="L79" i="1"/>
  <c r="O79" i="1"/>
  <c r="H80" i="1"/>
  <c r="J80" i="1"/>
  <c r="L80" i="1"/>
  <c r="O80" i="1"/>
  <c r="H81" i="1"/>
  <c r="J81" i="1"/>
  <c r="L81" i="1"/>
  <c r="O81" i="1"/>
  <c r="H82" i="1"/>
  <c r="J82" i="1"/>
  <c r="L82" i="1"/>
  <c r="O82" i="1"/>
  <c r="H83" i="1"/>
  <c r="J83" i="1"/>
  <c r="L83" i="1"/>
  <c r="O83" i="1"/>
  <c r="H84" i="1"/>
  <c r="J84" i="1"/>
  <c r="L84" i="1"/>
  <c r="O84" i="1"/>
  <c r="H85" i="1"/>
  <c r="J85" i="1"/>
  <c r="L85" i="1"/>
  <c r="O85" i="1"/>
  <c r="H86" i="1"/>
  <c r="J86" i="1"/>
  <c r="L86" i="1"/>
  <c r="O86" i="1"/>
  <c r="AB86" i="1"/>
  <c r="H87" i="1"/>
  <c r="J87" i="1"/>
  <c r="L87" i="1"/>
  <c r="O87" i="1"/>
  <c r="AB87" i="1"/>
  <c r="H88" i="1"/>
  <c r="J88" i="1"/>
  <c r="L88" i="1"/>
  <c r="O88" i="1"/>
  <c r="AB88" i="1"/>
  <c r="H89" i="1"/>
  <c r="J89" i="1"/>
  <c r="L89" i="1"/>
  <c r="O89" i="1"/>
  <c r="AB89" i="1"/>
  <c r="H90" i="1"/>
  <c r="J90" i="1"/>
  <c r="L90" i="1"/>
  <c r="O90" i="1"/>
  <c r="AB90" i="1"/>
  <c r="H91" i="1"/>
  <c r="J91" i="1"/>
  <c r="L91" i="1"/>
  <c r="O91" i="1"/>
  <c r="AB91" i="1"/>
  <c r="H92" i="1"/>
  <c r="J92" i="1"/>
  <c r="L92" i="1"/>
  <c r="O92" i="1"/>
  <c r="AB92" i="1"/>
  <c r="H93" i="1"/>
  <c r="J93" i="1"/>
  <c r="L93" i="1"/>
  <c r="O93" i="1"/>
  <c r="AB93" i="1"/>
  <c r="H94" i="1"/>
  <c r="J94" i="1"/>
  <c r="L94" i="1"/>
  <c r="O94" i="1"/>
  <c r="AB94" i="1"/>
  <c r="H95" i="1"/>
  <c r="J95" i="1"/>
  <c r="L95" i="1"/>
  <c r="O95" i="1"/>
  <c r="AB95" i="1"/>
  <c r="H96" i="1"/>
  <c r="J96" i="1"/>
  <c r="L96" i="1"/>
  <c r="O96" i="1"/>
  <c r="AB96" i="1"/>
  <c r="H97" i="1"/>
  <c r="J97" i="1"/>
  <c r="L97" i="1"/>
  <c r="O97" i="1"/>
  <c r="AB97" i="1"/>
  <c r="H98" i="1"/>
  <c r="J98" i="1"/>
  <c r="L98" i="1"/>
  <c r="O98" i="1"/>
  <c r="AB98" i="1"/>
  <c r="H99" i="1"/>
  <c r="J99" i="1"/>
  <c r="L99" i="1"/>
  <c r="O99" i="1"/>
  <c r="AB99" i="1"/>
  <c r="H100" i="1"/>
  <c r="J100" i="1"/>
  <c r="L100" i="1"/>
  <c r="O100" i="1"/>
  <c r="AB100" i="1"/>
  <c r="H101" i="1"/>
  <c r="J101" i="1"/>
  <c r="L101" i="1"/>
  <c r="O101" i="1"/>
  <c r="AB101" i="1"/>
  <c r="H102" i="1"/>
  <c r="J102" i="1"/>
  <c r="L102" i="1"/>
  <c r="O102" i="1"/>
  <c r="AB102" i="1"/>
  <c r="H103" i="1"/>
  <c r="J103" i="1"/>
  <c r="L103" i="1"/>
  <c r="O103" i="1"/>
  <c r="AB103" i="1"/>
  <c r="H104" i="1"/>
  <c r="J104" i="1"/>
  <c r="L104" i="1"/>
  <c r="O104" i="1"/>
  <c r="AB104" i="1"/>
  <c r="H105" i="1"/>
  <c r="J105" i="1"/>
  <c r="L105" i="1"/>
  <c r="O105" i="1"/>
  <c r="AB105" i="1"/>
  <c r="H106" i="1"/>
  <c r="J106" i="1"/>
  <c r="L106" i="1"/>
  <c r="O106" i="1"/>
  <c r="AB106" i="1"/>
  <c r="H107" i="1"/>
  <c r="J107" i="1"/>
  <c r="L107" i="1"/>
  <c r="O107" i="1"/>
  <c r="AB107" i="1"/>
  <c r="H108" i="1"/>
  <c r="J108" i="1"/>
  <c r="L108" i="1"/>
  <c r="O108" i="1"/>
  <c r="AB108" i="1"/>
  <c r="H109" i="1"/>
  <c r="J109" i="1"/>
  <c r="L109" i="1"/>
  <c r="O109" i="1"/>
  <c r="AB109" i="1"/>
  <c r="H110" i="1"/>
  <c r="J110" i="1"/>
  <c r="L110" i="1"/>
  <c r="O110" i="1"/>
  <c r="AB110" i="1"/>
  <c r="H111" i="1"/>
  <c r="J111" i="1"/>
  <c r="L111" i="1"/>
  <c r="O111" i="1"/>
  <c r="AB111" i="1"/>
  <c r="H112" i="1"/>
  <c r="J112" i="1"/>
  <c r="L112" i="1"/>
  <c r="O112" i="1"/>
  <c r="AB112" i="1"/>
  <c r="H113" i="1"/>
  <c r="J113" i="1"/>
  <c r="L113" i="1"/>
  <c r="O113" i="1"/>
  <c r="AB113" i="1"/>
  <c r="H114" i="1"/>
  <c r="J114" i="1"/>
  <c r="L114" i="1"/>
  <c r="O114" i="1"/>
  <c r="AB114" i="1"/>
  <c r="H115" i="1"/>
  <c r="J115" i="1"/>
  <c r="L115" i="1"/>
  <c r="O115" i="1"/>
  <c r="AB115" i="1"/>
  <c r="H116" i="1"/>
  <c r="J116" i="1"/>
  <c r="L116" i="1"/>
  <c r="O116" i="1"/>
  <c r="AB116" i="1"/>
  <c r="H117" i="1"/>
  <c r="J117" i="1"/>
  <c r="L117" i="1"/>
  <c r="O117" i="1"/>
  <c r="AB117" i="1"/>
  <c r="H118" i="1"/>
  <c r="J118" i="1"/>
  <c r="L118" i="1"/>
  <c r="O118" i="1"/>
  <c r="AB118" i="1"/>
  <c r="H119" i="1"/>
  <c r="J119" i="1"/>
  <c r="L119" i="1"/>
  <c r="O119" i="1"/>
  <c r="AB119" i="1"/>
  <c r="H120" i="1"/>
  <c r="J120" i="1"/>
  <c r="L120" i="1"/>
  <c r="O120" i="1"/>
  <c r="AB120" i="1"/>
  <c r="H121" i="1"/>
  <c r="J121" i="1"/>
  <c r="L121" i="1"/>
  <c r="O121" i="1"/>
  <c r="AB121" i="1"/>
  <c r="H122" i="1"/>
  <c r="J122" i="1"/>
  <c r="L122" i="1"/>
  <c r="O122" i="1"/>
  <c r="AB122" i="1"/>
  <c r="H123" i="1"/>
  <c r="J123" i="1"/>
  <c r="L123" i="1"/>
  <c r="O123" i="1"/>
  <c r="AB123" i="1"/>
  <c r="H124" i="1"/>
  <c r="J124" i="1"/>
  <c r="L124" i="1"/>
  <c r="O124" i="1"/>
  <c r="AB124" i="1"/>
  <c r="H125" i="1"/>
  <c r="J125" i="1"/>
  <c r="L125" i="1"/>
  <c r="O125" i="1"/>
  <c r="AB125" i="1"/>
  <c r="H126" i="1"/>
  <c r="J126" i="1"/>
  <c r="L126" i="1"/>
  <c r="O126" i="1"/>
  <c r="AB126" i="1"/>
  <c r="H127" i="1"/>
  <c r="J127" i="1"/>
  <c r="L127" i="1"/>
  <c r="O127" i="1"/>
  <c r="AB127" i="1"/>
  <c r="H128" i="1"/>
  <c r="J128" i="1"/>
  <c r="L128" i="1"/>
  <c r="O128" i="1"/>
  <c r="AB128" i="1"/>
  <c r="H129" i="1"/>
  <c r="J129" i="1"/>
  <c r="L129" i="1"/>
  <c r="O129" i="1"/>
  <c r="AB129" i="1"/>
  <c r="H130" i="1"/>
  <c r="J130" i="1"/>
  <c r="L130" i="1"/>
  <c r="O130" i="1"/>
  <c r="AB130" i="1"/>
  <c r="H131" i="1"/>
  <c r="J131" i="1"/>
  <c r="L131" i="1"/>
  <c r="O131" i="1"/>
  <c r="AB131" i="1"/>
  <c r="H132" i="1"/>
  <c r="J132" i="1"/>
  <c r="L132" i="1"/>
  <c r="O132" i="1"/>
  <c r="AB132" i="1"/>
  <c r="H133" i="1"/>
  <c r="J133" i="1"/>
  <c r="L133" i="1"/>
  <c r="O133" i="1"/>
  <c r="AB133" i="1"/>
  <c r="H134" i="1"/>
  <c r="J134" i="1"/>
  <c r="L134" i="1"/>
  <c r="O134" i="1"/>
  <c r="AB134" i="1"/>
  <c r="H135" i="1"/>
  <c r="J135" i="1"/>
  <c r="L135" i="1"/>
  <c r="O135" i="1"/>
  <c r="AB135" i="1"/>
</calcChain>
</file>

<file path=xl/sharedStrings.xml><?xml version="1.0" encoding="utf-8"?>
<sst xmlns="http://schemas.openxmlformats.org/spreadsheetml/2006/main" count="1234" uniqueCount="351">
  <si>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</si>
  <si>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</si>
  <si>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</si>
  <si>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</si>
  <si>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</si>
  <si>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</si>
  <si>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</si>
  <si>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</si>
  <si>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</si>
  <si>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</si>
  <si>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</si>
  <si>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</si>
  <si>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</si>
  <si>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</si>
  <si>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</si>
  <si>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</si>
  <si>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</si>
  <si>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</si>
  <si>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</si>
  <si>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</si>
  <si>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</si>
  <si>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</si>
  <si>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</si>
  <si>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</si>
  <si>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</si>
  <si>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</si>
  <si>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</si>
  <si>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</si>
  <si>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</si>
  <si>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</si>
  <si>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</si>
  <si>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</si>
  <si>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</si>
  <si>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</si>
  <si>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May</t>
  </si>
  <si>
    <t>September</t>
  </si>
  <si>
    <t>P3110</t>
  </si>
  <si>
    <t>14th Finance Commission Grant Works</t>
  </si>
  <si>
    <t>December</t>
  </si>
  <si>
    <t>October</t>
  </si>
  <si>
    <t>State Finance Commission Untied Grant Works</t>
  </si>
  <si>
    <t>P3111</t>
  </si>
  <si>
    <t>April</t>
  </si>
  <si>
    <t>M/s KRIDL</t>
  </si>
  <si>
    <t>KRIDL</t>
  </si>
  <si>
    <t>June</t>
  </si>
  <si>
    <t xml:space="preserve"> Assistant Executive Engineer Nagapura West Zone</t>
  </si>
  <si>
    <t>ddo200</t>
  </si>
  <si>
    <t>Works sanctioned by Dy. Mayor</t>
  </si>
  <si>
    <t>P2178</t>
  </si>
  <si>
    <t xml:space="preserve">M/s KRIDL </t>
  </si>
  <si>
    <t>Improvements to drain and providing and laying CC to 4th H Cross Maruthinagara in ward no 102</t>
  </si>
  <si>
    <t>102-17-000084</t>
  </si>
  <si>
    <t>Vrisahbhavathi Nagara</t>
  </si>
  <si>
    <t>Improvements to drains at 6th cross Maruthinagara in ward no 102</t>
  </si>
  <si>
    <t>102-17-000085</t>
  </si>
  <si>
    <t>Fencing of BBMP Properties (Other than gardens, parks)</t>
  </si>
  <si>
    <t>P0607</t>
  </si>
  <si>
    <t>Chain link fencing to BBMP property   in ward no 102</t>
  </si>
  <si>
    <t>102-17-000039</t>
  </si>
  <si>
    <t>BBMP Assets - Fencing of Vacant BMP Land (including Parks, Playgrounds and Gardens)</t>
  </si>
  <si>
    <t>P0290</t>
  </si>
  <si>
    <t>Chain link fencing to BBMP property for play ground and park in ward no 102</t>
  </si>
  <si>
    <t>102-17-000037</t>
  </si>
  <si>
    <t>14th Finance Commission Works - Community Property Maintenance (including Parks)</t>
  </si>
  <si>
    <t>P3292</t>
  </si>
  <si>
    <t>kridl</t>
  </si>
  <si>
    <t>Maintenance of ward office  in ward no 102</t>
  </si>
  <si>
    <t>102-18-000050</t>
  </si>
  <si>
    <t>14th Fin  -Maintenance of Cremotorium, Burial Grounds</t>
  </si>
  <si>
    <t>P3291</t>
  </si>
  <si>
    <t>Maintenance of BBMP building  in ward no 102</t>
  </si>
  <si>
    <t>102-18-000049</t>
  </si>
  <si>
    <t>14th Finance Commission Works - General Public ToiletandSeptage Maintenance</t>
  </si>
  <si>
    <t>P3294</t>
  </si>
  <si>
    <t>Maintenance of Existing toilet in ward no 102</t>
  </si>
  <si>
    <t>102-18-000052</t>
  </si>
  <si>
    <t>Special Development works at Ward No. 02,12,22,23,24,25,30,31,37, 38,40,41,42,47,49,53,55,56,59,73,77,78,81,74,87,97,102,117,118,120,121,131,134,136,140,135,147,148,152,157,170,172,176 ( 43 wards Rs.4.00 Cr. Each)</t>
  </si>
  <si>
    <t>P3332</t>
  </si>
  <si>
    <t>Drilling of Borewells at kamakshipalya and maruthinagara surroundings  in Ward No 102</t>
  </si>
  <si>
    <t>102-18-000005</t>
  </si>
  <si>
    <t>Drilling of Borewells at Vinyakanagar and Sannakkibailu  surroundings  in Ward No 102</t>
  </si>
  <si>
    <t>102-18-000006</t>
  </si>
  <si>
    <t>Special Development works at Ward No.22, 31, 44, 70, 74, 102, 135, 176 Rs.1 Cr Each, Ward No.86, 112, 144 Rs.5.Cr Each</t>
  </si>
  <si>
    <t>P3328</t>
  </si>
  <si>
    <t>Drilling Borewells at Chandrappa road, Maramma Temple road and Kamalanagara  surroundings  in Ward No 102</t>
  </si>
  <si>
    <t>102-18-000019</t>
  </si>
  <si>
    <t>Drilling Borewells at Manivilas Garden and NGOs Colony in Ward No 102</t>
  </si>
  <si>
    <t>102-18-000014</t>
  </si>
  <si>
    <t>N.Nagaraja</t>
  </si>
  <si>
    <t>Improvements to drains at 5th Cross roads in Maruthinagara  in ward NO.102</t>
  </si>
  <si>
    <t>102-17-000079</t>
  </si>
  <si>
    <t>Krishnegowda</t>
  </si>
  <si>
    <t>Providing and laying cement concrete patches to Concrete roads  in ward NO.102</t>
  </si>
  <si>
    <t>102-17-000072</t>
  </si>
  <si>
    <t>Construction of RCC drains at 3rd cross Ganganna layout  in ward NO.102</t>
  </si>
  <si>
    <t>102-17-000077</t>
  </si>
  <si>
    <t>Improvements to drains at Ganganna layout in ward NO.102</t>
  </si>
  <si>
    <t>102-17-000076</t>
  </si>
  <si>
    <t>S.K.Basavaraju</t>
  </si>
  <si>
    <t>Construction of RCC drains at 4th D cross vinayakanagara  in ward NO.102</t>
  </si>
  <si>
    <t>102-17-000082</t>
  </si>
  <si>
    <t>14th Finance Commission Works - Road and Footpath Maintenance</t>
  </si>
  <si>
    <t>P3296</t>
  </si>
  <si>
    <t>Maintenance of footpath and roads in ward no 102</t>
  </si>
  <si>
    <t>102-18-000054</t>
  </si>
  <si>
    <t>November</t>
  </si>
  <si>
    <t>14th Finance Commission Grants - SWD Works</t>
  </si>
  <si>
    <t>P3297</t>
  </si>
  <si>
    <t>Desilting of secondary drains in ward no 102</t>
  </si>
  <si>
    <t>102-18-000055</t>
  </si>
  <si>
    <t>14th Finance Commission Works - UGD Works</t>
  </si>
  <si>
    <t>P3295</t>
  </si>
  <si>
    <t>U G D  works  in ward no 102</t>
  </si>
  <si>
    <t>102-18-000053</t>
  </si>
  <si>
    <t>Nagarothana Works</t>
  </si>
  <si>
    <t>P3106</t>
  </si>
  <si>
    <t>Additional works to Indira Canteen at Shankaranag Bus stop in Ward no 102 Vrushabhavathi Nagar</t>
  </si>
  <si>
    <t>102-18-000085</t>
  </si>
  <si>
    <t>Sri.M.S.Venkatesh,</t>
  </si>
  <si>
    <t>Comprehensive development of roads and drains in ward no 67, 75,and 102 Nagapura  Sub Division (MLP-Package-2)</t>
  </si>
  <si>
    <t>102-17-000116</t>
  </si>
  <si>
    <t>Works sanctioned by Hon Mayor</t>
  </si>
  <si>
    <t>P0190</t>
  </si>
  <si>
    <t>Improvements to drains and footpath at Magadi main road( Northern side) in ward no 102 Ch:450.00 to 900mtrs)</t>
  </si>
  <si>
    <t>102-17-000096</t>
  </si>
  <si>
    <t>Improvements to drains and footpath at Magadi Main road Northern side) in ward no 102 Ch:0.00 to 450.00mtrs</t>
  </si>
  <si>
    <t>102-17-000095</t>
  </si>
  <si>
    <t>Improvements to footpath and protective works near SWD at Magadi main road in ward no 102</t>
  </si>
  <si>
    <t>102-17-000092</t>
  </si>
  <si>
    <t>M/s.Zen Tec</t>
  </si>
  <si>
    <t>Improvements to drains at 7th cross roads in Maruthinagara  in ward NO.102</t>
  </si>
  <si>
    <t>102-17-000080</t>
  </si>
  <si>
    <t>J.G.Ravindra</t>
  </si>
  <si>
    <t>Improvemetns to drains at California school road  in ward NO.102</t>
  </si>
  <si>
    <t>102-17-000078</t>
  </si>
  <si>
    <t>Formation and providing CC road to 6th cross and 4th A Cross Vinayaka nagara in ward no 102</t>
  </si>
  <si>
    <t>102-17-000054</t>
  </si>
  <si>
    <t>Special comprehensive development works in Bangalore city (Bangalore city in charge Minister Discretionary Grants)</t>
  </si>
  <si>
    <t>P3075</t>
  </si>
  <si>
    <t>Providing shelter at BEML Layout park in ward NO.102</t>
  </si>
  <si>
    <t>102-17-000102</t>
  </si>
  <si>
    <t>Providing additional Gym equipments and chain link fencing to Damaged portion at BEML layout park in ward No.102</t>
  </si>
  <si>
    <t>102-17-000107</t>
  </si>
  <si>
    <t>B.R.Puttaswamy</t>
  </si>
  <si>
    <t>Silt and Tractor in Ward No - 102</t>
  </si>
  <si>
    <t>102-16-000009</t>
  </si>
  <si>
    <t xml:space="preserve"> Executive Engineer SWM 1 Central Zone</t>
  </si>
  <si>
    <t>ddo326</t>
  </si>
  <si>
    <t>Executive Engineer, KRIDL</t>
  </si>
  <si>
    <t>Improvements of BEML park in ward no 102</t>
  </si>
  <si>
    <t>102-17-000055</t>
  </si>
  <si>
    <t>Restoration of damaged concrete roads and road cut portions at Maruthinagara Chenigappa layout Ganganna Badavane and Kamalanagar surroundings in ward no 102</t>
  </si>
  <si>
    <t>102-17-000051</t>
  </si>
  <si>
    <t>Formation and providing CC road to Marappa industrial estate and cross roads in ward no 102</t>
  </si>
  <si>
    <t>102-17-000052</t>
  </si>
  <si>
    <t>Formation of road and Providing CC to 6th main and cross roads Kamalanagara  in Ward No -102</t>
  </si>
  <si>
    <t>102-16-000019</t>
  </si>
  <si>
    <t xml:space="preserve">Providing CC to lanes Near Vrushabhavathi Valley Kamalanagara in Ward No -102 </t>
  </si>
  <si>
    <t>102-16-000021</t>
  </si>
  <si>
    <t>Special development works in ward No.172, 154, 197, 77, 75, 192, 102, 18, 41 (Rs.400 lakhs each ward)</t>
  </si>
  <si>
    <t>P3175</t>
  </si>
  <si>
    <t>Improvements to drains and Providing CC to 2nd  Cross Kamalnagara in ward No.102</t>
  </si>
  <si>
    <t>102-17-000028</t>
  </si>
  <si>
    <t>Providing CC to roads and Improvement to drains at Maramma Temple road and crossroads in Ward No -102</t>
  </si>
  <si>
    <t>102-16-000022</t>
  </si>
  <si>
    <t xml:space="preserve">Improvement Drains and providing CC to Kevumpu road and crossroads in Ward No -102 </t>
  </si>
  <si>
    <t>102-16-000023</t>
  </si>
  <si>
    <t>Improvements to roads and drains at Chandrappa road  in Ward No -102</t>
  </si>
  <si>
    <t>102-16-000020</t>
  </si>
  <si>
    <t>Improvements drains and roads at 1st Mainroad Opposite  Rangamandira  in Ward No -102</t>
  </si>
  <si>
    <t>102-16-000018</t>
  </si>
  <si>
    <t>Improvements to drains and Providing CC to 1st Cross Kamalnagara in ward No.102</t>
  </si>
  <si>
    <t>102-17-000027</t>
  </si>
  <si>
    <t>Formation and providing CC road to 1st A Main Vinayaka nagara in ward no 102</t>
  </si>
  <si>
    <t>102-17-000053</t>
  </si>
  <si>
    <t>Improvements to drains and providing CC to 14th A Cross at Nanjappa layout  in ward No.102</t>
  </si>
  <si>
    <t>102-17-000021</t>
  </si>
  <si>
    <t>Providing and laying CC to 14th B Cross and surroundings areas  in ward No.102</t>
  </si>
  <si>
    <t>102-17-000022</t>
  </si>
  <si>
    <t>R.Chandranaik,</t>
  </si>
  <si>
    <t>Engagement of Gangman and Hiring of Tractor Tippers for cleaning and Maintenance of road side drains and 102</t>
  </si>
  <si>
    <t>102-17-000109</t>
  </si>
  <si>
    <t>Improvements to drains at 12th main road puttaiah layout in ward No.102</t>
  </si>
  <si>
    <t>102-17-000016</t>
  </si>
  <si>
    <t>Providing and laying RCC Hume pipe drain at 2nd E Cross road Kullayya Industrial estate Kamakshipalya in ward no.102</t>
  </si>
  <si>
    <t>102-17-000013</t>
  </si>
  <si>
    <t>Providing cement concrete to 3rd main and RCC drain at 7th main road of Ganganna layout in ward no 102</t>
  </si>
  <si>
    <t>102-17-000049</t>
  </si>
  <si>
    <t>Restoration of damaged concrete roads at NGO s colony in Sannakki bailu and surrounding area in ward no.102</t>
  </si>
  <si>
    <t>102-17-000015</t>
  </si>
  <si>
    <t>Drilling of borewells in ward No.102</t>
  </si>
  <si>
    <t>102-17-000108</t>
  </si>
  <si>
    <t>Providing cement concrete to 5th cross 11th main (Northern side) Maruthinagara in ward no 102</t>
  </si>
  <si>
    <t>102-17-000046</t>
  </si>
  <si>
    <t>Improvements to drains and culverts in front of Ganesha temple road in ward No.102</t>
  </si>
  <si>
    <t>102-17-000034</t>
  </si>
  <si>
    <t>Improvements to drain at 4th L Cross Maruthinagar in ward No 102</t>
  </si>
  <si>
    <t>102-18-000041</t>
  </si>
  <si>
    <t>Improvements to drains at 11th main road puttaiah layout in ward No.102</t>
  </si>
  <si>
    <t>102-17-000018</t>
  </si>
  <si>
    <t>Construction of RCC drain with covering at Cross roads Andanappa Layout in ward no.102</t>
  </si>
  <si>
    <t>102-17-000009</t>
  </si>
  <si>
    <t>Improvements to drains at 3rd cross Andanappa layout in ward no.102</t>
  </si>
  <si>
    <t>102-17-000011</t>
  </si>
  <si>
    <t xml:space="preserve">kridl </t>
  </si>
  <si>
    <t>Improvements to drains at 2nd Cross Andanappa Layout in ward no.102</t>
  </si>
  <si>
    <t>102-17-000008</t>
  </si>
  <si>
    <t>Formation of roads and providing CC to 3d Cross and surrounding cross roads at Andanappa Layout in ward no.102</t>
  </si>
  <si>
    <t>102-17-000012</t>
  </si>
  <si>
    <t>Improvement to drains at Archana School road in ward no -102</t>
  </si>
  <si>
    <t>102-16-000046</t>
  </si>
  <si>
    <t>Providing Cement concrete to 1st A Main road Ganganna layout and Improvement crossroads of Aralimara crossroads in Ward No -102</t>
  </si>
  <si>
    <t>102-16-000041</t>
  </si>
  <si>
    <t>Improvement to drains and Providing CC to Factory road at Vinyakanagara in ward No-102</t>
  </si>
  <si>
    <t>102-16-000024</t>
  </si>
  <si>
    <t>Improvements to drains at 13th main road puttaiah layout in ward No.102</t>
  </si>
  <si>
    <t>102-17-000017</t>
  </si>
  <si>
    <t>Construction of RCC drain behind Narasamma veeranna Convention hall (from 11th Main 1st Main Maruthinagara) in ward No.102</t>
  </si>
  <si>
    <t>102-17-000031</t>
  </si>
  <si>
    <t>Improvements to drains and construction of RCC drain at 1st Cross Maruthinagara in ward NO.102</t>
  </si>
  <si>
    <t>102-17-000032</t>
  </si>
  <si>
    <t>Improvements to drains at 11th main road upto Eshwara temple in ward No.102</t>
  </si>
  <si>
    <t>102-17-000030</t>
  </si>
  <si>
    <t>Improvements to drains and culverts at 9th Cross BEML Layout in ward No.102</t>
  </si>
  <si>
    <t>102-17-000029</t>
  </si>
  <si>
    <t>Improvement to drains at 4th cross Marappa Industrial Estate (near St mary s school] in ward No-102</t>
  </si>
  <si>
    <t>102-16-000044</t>
  </si>
  <si>
    <t>Improvements to drains at 3rd A Cross (Kaleshappa house) in ward No.102</t>
  </si>
  <si>
    <t>102-17-000019</t>
  </si>
  <si>
    <t>Improvements to drains and culverts and providing CC to roads (between factory road and 4th C main road) in ward No.102</t>
  </si>
  <si>
    <t>102-17-000033</t>
  </si>
  <si>
    <t>Providing and Laying cement concrete to 1st main Manivilas garden road and crossroads in Ward No-102</t>
  </si>
  <si>
    <t>102-16-000033</t>
  </si>
  <si>
    <t>Improvement to drains and Providing cement concrete road to 2nd and 3rd main roads at Sannakkibailu Main road in Ward No-102</t>
  </si>
  <si>
    <t>102-16-000037</t>
  </si>
  <si>
    <t>Formation and providing CC to cross roads at Andanappa Layout in ward no.102</t>
  </si>
  <si>
    <t>102-17-000010</t>
  </si>
  <si>
    <t>Improvements to drains at 6th main road Kamakshipalya (Lakshmi vallabha kalyana mantap) in ward No.102</t>
  </si>
  <si>
    <t>102-17-000020</t>
  </si>
  <si>
    <t>Improvements to drains at 14th main road and surrounding areas in ward No.102</t>
  </si>
  <si>
    <t>102-17-000023</t>
  </si>
  <si>
    <t>Rayee gowda</t>
  </si>
  <si>
    <t>Providing and laying CC to roads at 4th cross Sannakki bailu in ward NO.102</t>
  </si>
  <si>
    <t>102-16-000010</t>
  </si>
  <si>
    <t>Sri Manjunatha Associates ( K.T Manjunath)</t>
  </si>
  <si>
    <t xml:space="preserve">Construction of RCC drain with covering slab at 1st Main Sannakki bailu and 3rd Cross Sannakki baily in ward no.102 </t>
  </si>
  <si>
    <t>102-12-000031</t>
  </si>
  <si>
    <t>Special development works in Ward No. 65  152  174  28  126  107  102  86  38  45  49</t>
  </si>
  <si>
    <t>P2363</t>
  </si>
  <si>
    <t xml:space="preserve">Kushal S R </t>
  </si>
  <si>
    <t>Construction of RCC drain with covering slab at Church road in ward no 102</t>
  </si>
  <si>
    <t>102-12-000018</t>
  </si>
  <si>
    <t>Improvements to drains at 4th main and Providing CC to 5th E crossroads at NGOs colony in Ward No -102</t>
  </si>
  <si>
    <t>102-16-000017</t>
  </si>
  <si>
    <t>Providing and laying CC to road (Opp.to pooja Kalyana mantapa) in ward no.102</t>
  </si>
  <si>
    <t>102-17-000002</t>
  </si>
  <si>
    <t>m/s kridl</t>
  </si>
  <si>
    <t>Improvements to drains at 2nd cross Vinayakanagara in ward No.102</t>
  </si>
  <si>
    <t>102-17-000035</t>
  </si>
  <si>
    <t>Providing and laying CC to 1st main and cross roads Kamakshipalya in ward no.102</t>
  </si>
  <si>
    <t>102-17-000003</t>
  </si>
  <si>
    <t>Improvements to drains at 3rd cross Vinayaka nagara in ward no.102</t>
  </si>
  <si>
    <t>102-17-000001</t>
  </si>
  <si>
    <t>Improvements to drains and providing cc at 1st A Cross, Magadi Main road in ward no.102</t>
  </si>
  <si>
    <t>102-17-000004</t>
  </si>
  <si>
    <t>Providing and laying cc to 2nd Cross (Aralimarada road) in ward no.102</t>
  </si>
  <si>
    <t>102-17-000005</t>
  </si>
  <si>
    <t xml:space="preserve"> Assistant Executive Engineer Mahalakshmipuram West Zone</t>
  </si>
  <si>
    <t>ddo201</t>
  </si>
  <si>
    <t>Improvements to culverts at maruthinagara and BEML layout Surroundings in ward no 102 Vrushabhavathinagar</t>
  </si>
  <si>
    <t>102-18-000039</t>
  </si>
  <si>
    <t>Comprehensive development of roads and drains in ward no 67, 75,and 102 Nagapura Sub Division (MLP-Package-2)</t>
  </si>
  <si>
    <t xml:space="preserve">Kushal SR </t>
  </si>
  <si>
    <t>Construction of RCC drain with covering slab at Moury School road in ward no 102</t>
  </si>
  <si>
    <t>102-12-000017</t>
  </si>
  <si>
    <t>Construction of RCC drain with covering slab at 3rd main road Aralimara main road in ward no 102</t>
  </si>
  <si>
    <t>102-12-000023</t>
  </si>
  <si>
    <t>Ramanna</t>
  </si>
  <si>
    <t xml:space="preserve">Construction of RCC drain with covering slab at 4th I Cross Sannakki bailu (Temple opposite road ) in ward no.102 </t>
  </si>
  <si>
    <t>102-12-000032</t>
  </si>
  <si>
    <t>Construction of RCC drain with Covering slab at 2nd Cross road in ward no.102</t>
  </si>
  <si>
    <t>102-16-000028</t>
  </si>
  <si>
    <t>Construction of missing RCC drain with covering slab at Kamakshipalya main road western side and cross roads in ward no.102</t>
  </si>
  <si>
    <t>102-16-000030</t>
  </si>
  <si>
    <t>Construction of RCC drain with covering slab at 2nd main road in ward no.102</t>
  </si>
  <si>
    <t>102-16-000027</t>
  </si>
  <si>
    <t>Construction of RCC drain with covering slab at 6th main road in ward no.102</t>
  </si>
  <si>
    <t>102-16-000029</t>
  </si>
  <si>
    <t>Removal of Historical debris in open areas and footpaths maintenance in ward no -102</t>
  </si>
  <si>
    <t>102-16-000047</t>
  </si>
  <si>
    <t>Improvements to drains and construction of damaged culverts in ward no.102</t>
  </si>
  <si>
    <t>102-17-000006</t>
  </si>
  <si>
    <t>Providing CC to cross road behind Eshwara Temple and Church cross road in ward no 102</t>
  </si>
  <si>
    <t>102-18-000045</t>
  </si>
  <si>
    <t>Construction of RCC Drain at 3rd cross to KEB meter board Sannakkibailu (Coconut garden road) in W.ard No 102 Vrushabhavathinagar.</t>
  </si>
  <si>
    <t>102-18-000022</t>
  </si>
  <si>
    <t>Providing fixing Name Boards in ward no -102</t>
  </si>
  <si>
    <t>102-16-000045</t>
  </si>
  <si>
    <t>Improvement to drains and roads at 1st Main and 3rd main roads NGO s Colony in Ward No-102</t>
  </si>
  <si>
    <t>102-16-000035</t>
  </si>
  <si>
    <t xml:space="preserve">Providing asphalting to Bank road (Opp to Lakshmi Vallabha Kalyana Mantapa road) in ward no.102 </t>
  </si>
  <si>
    <t>102-15-000074</t>
  </si>
  <si>
    <t>Improvement to drains and Providing cement concrete to cross roads and lanes at sannakkibailu near Vrushabhavathi Valley in Ward No-102</t>
  </si>
  <si>
    <t>102-16-000038</t>
  </si>
  <si>
    <t>Improvement to drains at NGO s Colony Main road in front of Govt. School in Ward No-102</t>
  </si>
  <si>
    <t>102-16-000036</t>
  </si>
  <si>
    <t>Providing and Laying cement concrete and Improvement to drain Chruch road Manivilas garden in Ward No-102</t>
  </si>
  <si>
    <t>102-16-000034</t>
  </si>
  <si>
    <t>Improvement to drains and Providing cement concrete at 1st A cross and cross roads sannakkibailu in Ward No-102</t>
  </si>
  <si>
    <t>102-16-000039</t>
  </si>
  <si>
    <t>Improvement to drains and Providing cement concrete at 1st cross and cross roads sannakkibailu in Ward No-102</t>
  </si>
  <si>
    <t>102-16-000040</t>
  </si>
  <si>
    <t>Construction of RCC drain and providing asphalting to Anjaneya temple to Magadi road in ward No.102</t>
  </si>
  <si>
    <t>102-16-000013</t>
  </si>
  <si>
    <t>Sri Rayee Gowda</t>
  </si>
  <si>
    <t>Providing and laying CC to roads at Coconut Garden Cross roads in ward No.102</t>
  </si>
  <si>
    <t>102-16-000012</t>
  </si>
  <si>
    <t>Construction of RCC Drain and culverts at Northern side of 1st cross (Towards storm water drain) in Ward No 102 Vrushabhavathinagar</t>
  </si>
  <si>
    <t>102-18-000035</t>
  </si>
  <si>
    <t>Construction of RCC Drain at Southern side of 1st cross (Towards storm water drain) in Ward No 102 Vrushabhavathinagar</t>
  </si>
  <si>
    <t>102-18-000034</t>
  </si>
  <si>
    <t>Providing CC to road at 10th cross road near magadi main road in Ward No 102 Vrushabhavathinagar</t>
  </si>
  <si>
    <t>102-18-000025</t>
  </si>
  <si>
    <t>Construction of RCC Drain at 9th cross road near Magadi main road in Ward No 102 Vrushabhavathinagar</t>
  </si>
  <si>
    <t>102-18-000026</t>
  </si>
  <si>
    <t>Construction of RCC Drain at 9th and 10th cross (balance portion) road near Magadi main road in Ward No 102 Vrushabhavathinagar</t>
  </si>
  <si>
    <t>102-18-000028</t>
  </si>
  <si>
    <t>Construction of RCC Drain at 10th cross road near Magadi main road in Ward No 102 Vrushabhavathinagar</t>
  </si>
  <si>
    <t>102-18-000024</t>
  </si>
  <si>
    <t>Providing CC road at 8th cross and cross road Bhadrappa Industrial area in Ward No 102 Vrushabhavathinagar</t>
  </si>
  <si>
    <t>102-18-000032</t>
  </si>
  <si>
    <t>Construction of RCC drain at 8th cross and cross road Bhadrappa Industrial area in Ward No 102 Vrushabhavathinagar</t>
  </si>
  <si>
    <t>102-18-000031</t>
  </si>
  <si>
    <t>N.Venkatareddy</t>
  </si>
  <si>
    <t>Emergency Work in Ward no -102</t>
  </si>
  <si>
    <t>102-16-000003</t>
  </si>
  <si>
    <t>Providing CC to road at 9th cross road near Magadi main road in Ward No 102 Vrushabhavathinagar</t>
  </si>
  <si>
    <t>102-18-000027</t>
  </si>
  <si>
    <t>Improvements to drain at 2nd B cross Sannakkibailu main road in Ward No 102 Vrushabhavathinagara</t>
  </si>
  <si>
    <t>102-18-000021</t>
  </si>
  <si>
    <t>Providing CC at Shanimahathama temple road (Towards Storm Water Drain) in Ward No 102 Vrushabhavathinagar</t>
  </si>
  <si>
    <t>102-18-000036</t>
  </si>
  <si>
    <t>Improvements to drains at 4th E cross to 1st A main road Vinayakanagara in ward no 102 Vrushabhavathinagar</t>
  </si>
  <si>
    <t>102-18-000040</t>
  </si>
  <si>
    <t>Improvements to drains and Providing CC to road at 5th and 4th E cross and surroundings Maruthinagar in Ward No 102</t>
  </si>
  <si>
    <t>102-18-000042</t>
  </si>
  <si>
    <t>Providing and Laying CC road at California School road in Ward No 102 Vrushabhavathinagar</t>
  </si>
  <si>
    <t>102-18-000030</t>
  </si>
  <si>
    <t>Improvements to drains and culverts at 3rd and 4th cross of 11th main road (Northern side) Sannakkibailu in Ward No 102</t>
  </si>
  <si>
    <t>102-18-000033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</si>
</sst>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5"/>
  <sheetViews>
    <sheetView tabSelected="1" workbookViewId="0">
      <selection activeCell="A2" sqref="A2:XFD135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82</v>
      </c>
      <c r="B2" s="13" t="s">
        <v>42</v>
      </c>
      <c r="C2" s="13">
        <v>43194</v>
      </c>
      <c r="D2" s="5">
        <v>102</v>
      </c>
      <c r="E2" s="6" t="s">
        <v>53</v>
      </c>
      <c r="F2" s="5" t="s">
        <v>350</v>
      </c>
      <c r="G2" s="6" t="s">
        <v>349</v>
      </c>
      <c r="H2" s="5" t="str">
        <f>"000276"</f>
        <v>000276</v>
      </c>
      <c r="I2" s="4">
        <v>43157</v>
      </c>
      <c r="J2" s="5" t="str">
        <f>"000110"</f>
        <v>000110</v>
      </c>
      <c r="K2" s="4">
        <v>43174</v>
      </c>
      <c r="L2" s="5" t="str">
        <f>"000251"</f>
        <v>000251</v>
      </c>
      <c r="M2" s="4">
        <v>43174</v>
      </c>
      <c r="N2" s="5">
        <v>18</v>
      </c>
      <c r="O2" s="5" t="str">
        <f>"000148"</f>
        <v>000148</v>
      </c>
      <c r="P2" s="4">
        <v>43193</v>
      </c>
      <c r="Q2" s="7">
        <v>19.870539999999998</v>
      </c>
      <c r="R2" s="7">
        <v>1.9071800000000001</v>
      </c>
      <c r="S2" s="7">
        <v>17.963360000000002</v>
      </c>
      <c r="T2" s="5">
        <v>2</v>
      </c>
      <c r="U2" s="4">
        <v>43194</v>
      </c>
      <c r="V2" s="5">
        <v>9900333496</v>
      </c>
      <c r="W2" s="6" t="s">
        <v>66</v>
      </c>
      <c r="X2" s="5" t="s">
        <v>41</v>
      </c>
      <c r="Y2" s="6" t="s">
        <v>40</v>
      </c>
      <c r="Z2" s="5" t="s">
        <v>47</v>
      </c>
      <c r="AA2" s="6" t="s">
        <v>46</v>
      </c>
      <c r="AB2" s="7">
        <v>0.19870539999999998</v>
      </c>
      <c r="AD2" s="8"/>
      <c r="AF2" s="8"/>
      <c r="AG2" s="8"/>
    </row>
    <row r="3" spans="1:33" x14ac:dyDescent="0.2">
      <c r="A3" s="12">
        <v>83</v>
      </c>
      <c r="B3" s="13" t="s">
        <v>42</v>
      </c>
      <c r="C3" s="13">
        <v>43194</v>
      </c>
      <c r="D3" s="5">
        <v>102</v>
      </c>
      <c r="E3" s="6" t="s">
        <v>53</v>
      </c>
      <c r="F3" s="5" t="s">
        <v>348</v>
      </c>
      <c r="G3" s="6" t="s">
        <v>347</v>
      </c>
      <c r="H3" s="5" t="str">
        <f>"000264"</f>
        <v>000264</v>
      </c>
      <c r="I3" s="4">
        <v>43157</v>
      </c>
      <c r="J3" s="5" t="str">
        <f>"000115"</f>
        <v>000115</v>
      </c>
      <c r="K3" s="4">
        <v>43174</v>
      </c>
      <c r="L3" s="5" t="str">
        <f>"000257"</f>
        <v>000257</v>
      </c>
      <c r="M3" s="4">
        <v>43174</v>
      </c>
      <c r="N3" s="5">
        <v>18</v>
      </c>
      <c r="O3" s="5" t="str">
        <f>"000150"</f>
        <v>000150</v>
      </c>
      <c r="P3" s="4">
        <v>43193</v>
      </c>
      <c r="Q3" s="7">
        <v>19.97383</v>
      </c>
      <c r="R3" s="7">
        <v>2.0196700000000001</v>
      </c>
      <c r="S3" s="7">
        <v>17.954160000000002</v>
      </c>
      <c r="T3" s="5">
        <v>2</v>
      </c>
      <c r="U3" s="4">
        <v>43194</v>
      </c>
      <c r="V3" s="5">
        <v>9900333496</v>
      </c>
      <c r="W3" s="6" t="s">
        <v>66</v>
      </c>
      <c r="X3" s="5" t="s">
        <v>41</v>
      </c>
      <c r="Y3" s="6" t="s">
        <v>40</v>
      </c>
      <c r="Z3" s="5" t="s">
        <v>47</v>
      </c>
      <c r="AA3" s="6" t="s">
        <v>46</v>
      </c>
      <c r="AB3" s="7">
        <v>0.19973830000000001</v>
      </c>
      <c r="AD3" s="8"/>
      <c r="AF3" s="8"/>
      <c r="AG3" s="8"/>
    </row>
    <row r="4" spans="1:33" x14ac:dyDescent="0.2">
      <c r="A4" s="12">
        <v>84</v>
      </c>
      <c r="B4" s="13" t="s">
        <v>42</v>
      </c>
      <c r="C4" s="13">
        <v>43194</v>
      </c>
      <c r="D4" s="5">
        <v>102</v>
      </c>
      <c r="E4" s="6" t="s">
        <v>53</v>
      </c>
      <c r="F4" s="5" t="s">
        <v>346</v>
      </c>
      <c r="G4" s="6" t="s">
        <v>345</v>
      </c>
      <c r="H4" s="5" t="str">
        <f>"000273"</f>
        <v>000273</v>
      </c>
      <c r="I4" s="4">
        <v>43157</v>
      </c>
      <c r="J4" s="5" t="str">
        <f>"000114"</f>
        <v>000114</v>
      </c>
      <c r="K4" s="4">
        <v>43174</v>
      </c>
      <c r="L4" s="5" t="str">
        <f>"000256"</f>
        <v>000256</v>
      </c>
      <c r="M4" s="4">
        <v>43174</v>
      </c>
      <c r="N4" s="5">
        <v>18</v>
      </c>
      <c r="O4" s="5" t="str">
        <f>"000151"</f>
        <v>000151</v>
      </c>
      <c r="P4" s="4">
        <v>43193</v>
      </c>
      <c r="Q4" s="7">
        <v>19.978269999999998</v>
      </c>
      <c r="R4" s="7">
        <v>2.03504</v>
      </c>
      <c r="S4" s="7">
        <v>17.94323</v>
      </c>
      <c r="T4" s="5">
        <v>2</v>
      </c>
      <c r="U4" s="4">
        <v>43194</v>
      </c>
      <c r="V4" s="5">
        <v>9900333496</v>
      </c>
      <c r="W4" s="6" t="s">
        <v>66</v>
      </c>
      <c r="X4" s="5" t="s">
        <v>41</v>
      </c>
      <c r="Y4" s="6" t="s">
        <v>40</v>
      </c>
      <c r="Z4" s="5" t="s">
        <v>47</v>
      </c>
      <c r="AA4" s="6" t="s">
        <v>46</v>
      </c>
      <c r="AB4" s="7">
        <v>0.19978269999999998</v>
      </c>
      <c r="AD4" s="8"/>
      <c r="AF4" s="8"/>
      <c r="AG4" s="8"/>
    </row>
    <row r="5" spans="1:33" x14ac:dyDescent="0.2">
      <c r="A5" s="12">
        <v>85</v>
      </c>
      <c r="B5" s="13" t="s">
        <v>42</v>
      </c>
      <c r="C5" s="13">
        <v>43194</v>
      </c>
      <c r="D5" s="5">
        <v>102</v>
      </c>
      <c r="E5" s="6" t="s">
        <v>53</v>
      </c>
      <c r="F5" s="5" t="s">
        <v>344</v>
      </c>
      <c r="G5" s="6" t="s">
        <v>343</v>
      </c>
      <c r="H5" s="5" t="str">
        <f>"000272"</f>
        <v>000272</v>
      </c>
      <c r="I5" s="4">
        <v>43157</v>
      </c>
      <c r="J5" s="5" t="str">
        <f>"000132"</f>
        <v>000132</v>
      </c>
      <c r="K5" s="4">
        <v>43181</v>
      </c>
      <c r="L5" s="5" t="str">
        <f>"000291"</f>
        <v>000291</v>
      </c>
      <c r="M5" s="4">
        <v>43181</v>
      </c>
      <c r="N5" s="5">
        <v>18</v>
      </c>
      <c r="O5" s="5" t="str">
        <f>"000167"</f>
        <v>000167</v>
      </c>
      <c r="P5" s="4">
        <v>43193</v>
      </c>
      <c r="Q5" s="7">
        <v>19.999690000000001</v>
      </c>
      <c r="R5" s="7">
        <v>1.94347</v>
      </c>
      <c r="S5" s="7">
        <v>18.05622</v>
      </c>
      <c r="T5" s="5">
        <v>2</v>
      </c>
      <c r="U5" s="4">
        <v>43194</v>
      </c>
      <c r="V5" s="5">
        <v>9900333496</v>
      </c>
      <c r="W5" s="6" t="s">
        <v>66</v>
      </c>
      <c r="X5" s="5" t="s">
        <v>41</v>
      </c>
      <c r="Y5" s="6" t="s">
        <v>40</v>
      </c>
      <c r="Z5" s="5" t="s">
        <v>47</v>
      </c>
      <c r="AA5" s="6" t="s">
        <v>46</v>
      </c>
      <c r="AB5" s="7">
        <v>0.19999690000000001</v>
      </c>
      <c r="AD5" s="8"/>
      <c r="AF5" s="8"/>
      <c r="AG5" s="8"/>
    </row>
    <row r="6" spans="1:33" x14ac:dyDescent="0.2">
      <c r="A6" s="12">
        <v>257</v>
      </c>
      <c r="B6" s="13" t="s">
        <v>42</v>
      </c>
      <c r="C6" s="13">
        <v>43196</v>
      </c>
      <c r="D6" s="5">
        <v>102</v>
      </c>
      <c r="E6" s="6" t="s">
        <v>53</v>
      </c>
      <c r="F6" s="5" t="s">
        <v>121</v>
      </c>
      <c r="G6" s="6" t="s">
        <v>272</v>
      </c>
      <c r="H6" s="5" t="str">
        <f>"000309"</f>
        <v>000309</v>
      </c>
      <c r="I6" s="4">
        <v>43159</v>
      </c>
      <c r="J6" s="5" t="str">
        <f>"000021"</f>
        <v>000021</v>
      </c>
      <c r="K6" s="4">
        <v>43243</v>
      </c>
      <c r="L6" s="5" t="str">
        <f>"000055"</f>
        <v>000055</v>
      </c>
      <c r="M6" s="4">
        <v>43243</v>
      </c>
      <c r="N6" s="5">
        <v>17</v>
      </c>
      <c r="O6" s="5" t="str">
        <f>"002442"</f>
        <v>002442</v>
      </c>
      <c r="P6" s="4">
        <v>43263</v>
      </c>
      <c r="Q6" s="7">
        <v>341.96856000000002</v>
      </c>
      <c r="R6" s="7">
        <v>13.899620000000001</v>
      </c>
      <c r="S6" s="7">
        <v>328.06894</v>
      </c>
      <c r="T6" s="5">
        <v>7</v>
      </c>
      <c r="U6" s="4">
        <v>43196</v>
      </c>
      <c r="V6" s="5">
        <v>0</v>
      </c>
      <c r="W6" s="6" t="s">
        <v>119</v>
      </c>
      <c r="X6" s="5" t="s">
        <v>28</v>
      </c>
      <c r="Y6" s="6" t="s">
        <v>29</v>
      </c>
      <c r="Z6" s="5" t="s">
        <v>47</v>
      </c>
      <c r="AA6" s="6" t="s">
        <v>46</v>
      </c>
      <c r="AB6" s="7">
        <v>3.4196856000000002</v>
      </c>
      <c r="AD6" s="8"/>
      <c r="AF6" s="8"/>
      <c r="AG6" s="8"/>
    </row>
    <row r="7" spans="1:33" x14ac:dyDescent="0.2">
      <c r="A7" s="12">
        <v>305</v>
      </c>
      <c r="B7" s="13" t="s">
        <v>42</v>
      </c>
      <c r="C7" s="13">
        <v>43199</v>
      </c>
      <c r="D7" s="5">
        <v>102</v>
      </c>
      <c r="E7" s="6" t="s">
        <v>53</v>
      </c>
      <c r="F7" s="5" t="s">
        <v>342</v>
      </c>
      <c r="G7" s="6" t="s">
        <v>341</v>
      </c>
      <c r="H7" s="5" t="str">
        <f>"000275"</f>
        <v>000275</v>
      </c>
      <c r="I7" s="4">
        <v>43157</v>
      </c>
      <c r="J7" s="5" t="str">
        <f>"000136"</f>
        <v>000136</v>
      </c>
      <c r="K7" s="4">
        <v>43185</v>
      </c>
      <c r="L7" s="5" t="str">
        <f>"000305"</f>
        <v>000305</v>
      </c>
      <c r="M7" s="4">
        <v>43185</v>
      </c>
      <c r="N7" s="5">
        <v>18</v>
      </c>
      <c r="O7" s="5" t="str">
        <f>"000355"</f>
        <v>000355</v>
      </c>
      <c r="P7" s="4">
        <v>43196</v>
      </c>
      <c r="Q7" s="7">
        <v>19.908750000000001</v>
      </c>
      <c r="R7" s="7">
        <v>2.0046200000000001</v>
      </c>
      <c r="S7" s="7">
        <v>17.904129999999999</v>
      </c>
      <c r="T7" s="5">
        <v>8</v>
      </c>
      <c r="U7" s="4">
        <v>43199</v>
      </c>
      <c r="V7" s="5">
        <v>9900333496</v>
      </c>
      <c r="W7" s="6" t="s">
        <v>66</v>
      </c>
      <c r="X7" s="5" t="s">
        <v>41</v>
      </c>
      <c r="Y7" s="6" t="s">
        <v>40</v>
      </c>
      <c r="Z7" s="5" t="s">
        <v>47</v>
      </c>
      <c r="AA7" s="6" t="s">
        <v>46</v>
      </c>
      <c r="AB7" s="7">
        <v>0.1990875</v>
      </c>
      <c r="AD7" s="8"/>
      <c r="AF7" s="8"/>
      <c r="AG7" s="8"/>
    </row>
    <row r="8" spans="1:33" x14ac:dyDescent="0.2">
      <c r="A8" s="12">
        <v>306</v>
      </c>
      <c r="B8" s="13" t="s">
        <v>42</v>
      </c>
      <c r="C8" s="13">
        <v>43199</v>
      </c>
      <c r="D8" s="5">
        <v>102</v>
      </c>
      <c r="E8" s="6" t="s">
        <v>53</v>
      </c>
      <c r="F8" s="5" t="s">
        <v>340</v>
      </c>
      <c r="G8" s="6" t="s">
        <v>339</v>
      </c>
      <c r="H8" s="5" t="str">
        <f>"000288"</f>
        <v>000288</v>
      </c>
      <c r="I8" s="4">
        <v>43158</v>
      </c>
      <c r="J8" s="5" t="str">
        <f>"000131"</f>
        <v>000131</v>
      </c>
      <c r="K8" s="4">
        <v>43181</v>
      </c>
      <c r="L8" s="5" t="str">
        <f>"000290"</f>
        <v>000290</v>
      </c>
      <c r="M8" s="4">
        <v>43181</v>
      </c>
      <c r="N8" s="5">
        <v>18</v>
      </c>
      <c r="O8" s="5" t="str">
        <f>"000363"</f>
        <v>000363</v>
      </c>
      <c r="P8" s="4">
        <v>43196</v>
      </c>
      <c r="Q8" s="7">
        <v>19.993359999999999</v>
      </c>
      <c r="R8" s="7">
        <v>2.0144700000000002</v>
      </c>
      <c r="S8" s="7">
        <v>17.97889</v>
      </c>
      <c r="T8" s="5">
        <v>8</v>
      </c>
      <c r="U8" s="4">
        <v>43199</v>
      </c>
      <c r="V8" s="5">
        <v>9900333496</v>
      </c>
      <c r="W8" s="6" t="s">
        <v>66</v>
      </c>
      <c r="X8" s="5" t="s">
        <v>41</v>
      </c>
      <c r="Y8" s="6" t="s">
        <v>40</v>
      </c>
      <c r="Z8" s="5" t="s">
        <v>47</v>
      </c>
      <c r="AA8" s="6" t="s">
        <v>46</v>
      </c>
      <c r="AB8" s="7">
        <v>0.19993359999999999</v>
      </c>
      <c r="AD8" s="8"/>
      <c r="AF8" s="8"/>
      <c r="AG8" s="8"/>
    </row>
    <row r="9" spans="1:33" x14ac:dyDescent="0.2">
      <c r="A9" s="12">
        <v>307</v>
      </c>
      <c r="B9" s="13" t="s">
        <v>42</v>
      </c>
      <c r="C9" s="13">
        <v>43199</v>
      </c>
      <c r="D9" s="5">
        <v>102</v>
      </c>
      <c r="E9" s="6" t="s">
        <v>53</v>
      </c>
      <c r="F9" s="5" t="s">
        <v>338</v>
      </c>
      <c r="G9" s="6" t="s">
        <v>337</v>
      </c>
      <c r="H9" s="5" t="str">
        <f>"000277"</f>
        <v>000277</v>
      </c>
      <c r="I9" s="4">
        <v>43157</v>
      </c>
      <c r="J9" s="5" t="str">
        <f>"000133"</f>
        <v>000133</v>
      </c>
      <c r="K9" s="4">
        <v>43181</v>
      </c>
      <c r="L9" s="5" t="str">
        <f>"000292"</f>
        <v>000292</v>
      </c>
      <c r="M9" s="4">
        <v>43181</v>
      </c>
      <c r="N9" s="5">
        <v>18</v>
      </c>
      <c r="O9" s="5" t="str">
        <f>"000410"</f>
        <v>000410</v>
      </c>
      <c r="P9" s="4">
        <v>43197</v>
      </c>
      <c r="Q9" s="7">
        <v>19.995979999999999</v>
      </c>
      <c r="R9" s="7">
        <v>2.02868</v>
      </c>
      <c r="S9" s="7">
        <v>17.967300000000002</v>
      </c>
      <c r="T9" s="5">
        <v>8</v>
      </c>
      <c r="U9" s="4">
        <v>43199</v>
      </c>
      <c r="V9" s="5">
        <v>9900333496</v>
      </c>
      <c r="W9" s="6" t="s">
        <v>66</v>
      </c>
      <c r="X9" s="5" t="s">
        <v>41</v>
      </c>
      <c r="Y9" s="6" t="s">
        <v>40</v>
      </c>
      <c r="Z9" s="5" t="s">
        <v>47</v>
      </c>
      <c r="AA9" s="6" t="s">
        <v>46</v>
      </c>
      <c r="AB9" s="7">
        <v>0.19995979999999999</v>
      </c>
      <c r="AD9" s="8"/>
      <c r="AF9" s="8"/>
      <c r="AG9" s="8"/>
    </row>
    <row r="10" spans="1:33" x14ac:dyDescent="0.2">
      <c r="A10" s="12">
        <v>402</v>
      </c>
      <c r="B10" s="13" t="s">
        <v>42</v>
      </c>
      <c r="C10" s="13">
        <v>43200</v>
      </c>
      <c r="D10" s="5">
        <v>102</v>
      </c>
      <c r="E10" s="6" t="s">
        <v>53</v>
      </c>
      <c r="F10" s="5" t="s">
        <v>336</v>
      </c>
      <c r="G10" s="6" t="s">
        <v>335</v>
      </c>
      <c r="H10" s="5" t="str">
        <f>"000037"</f>
        <v>000037</v>
      </c>
      <c r="I10" s="4">
        <v>42423</v>
      </c>
      <c r="J10" s="5" t="str">
        <f>"000065"</f>
        <v>000065</v>
      </c>
      <c r="K10" s="4">
        <v>42537</v>
      </c>
      <c r="L10" s="5" t="str">
        <f>"000243"</f>
        <v>000243</v>
      </c>
      <c r="M10" s="4">
        <v>42538</v>
      </c>
      <c r="N10" s="5">
        <v>16</v>
      </c>
      <c r="O10" s="5" t="str">
        <f>"000188"</f>
        <v>000188</v>
      </c>
      <c r="P10" s="4">
        <v>43194</v>
      </c>
      <c r="Q10" s="7">
        <v>12.9339</v>
      </c>
      <c r="R10" s="7">
        <v>1.7879799999999999</v>
      </c>
      <c r="S10" s="7">
        <v>11.14592</v>
      </c>
      <c r="T10" s="5">
        <v>9</v>
      </c>
      <c r="U10" s="4">
        <v>43200</v>
      </c>
      <c r="V10" s="5">
        <v>9845641836</v>
      </c>
      <c r="W10" s="6" t="s">
        <v>334</v>
      </c>
      <c r="X10" s="5" t="s">
        <v>31</v>
      </c>
      <c r="Y10" s="6" t="s">
        <v>32</v>
      </c>
      <c r="Z10" s="5" t="s">
        <v>47</v>
      </c>
      <c r="AA10" s="6" t="s">
        <v>46</v>
      </c>
      <c r="AB10" s="7">
        <v>0.12933899999999998</v>
      </c>
      <c r="AD10" s="8"/>
      <c r="AF10" s="8"/>
      <c r="AG10" s="8"/>
    </row>
    <row r="11" spans="1:33" x14ac:dyDescent="0.2">
      <c r="A11" s="12">
        <v>537</v>
      </c>
      <c r="B11" s="13" t="s">
        <v>42</v>
      </c>
      <c r="C11" s="13">
        <v>43203</v>
      </c>
      <c r="D11" s="5">
        <v>102</v>
      </c>
      <c r="E11" s="6" t="s">
        <v>53</v>
      </c>
      <c r="F11" s="5" t="s">
        <v>333</v>
      </c>
      <c r="G11" s="6" t="s">
        <v>332</v>
      </c>
      <c r="H11" s="5" t="str">
        <f>"000271"</f>
        <v>000271</v>
      </c>
      <c r="I11" s="4">
        <v>43157</v>
      </c>
      <c r="J11" s="5" t="str">
        <f>"000001"</f>
        <v>000001</v>
      </c>
      <c r="K11" s="4">
        <v>43192</v>
      </c>
      <c r="L11" s="5" t="str">
        <f>"000005"</f>
        <v>000005</v>
      </c>
      <c r="M11" s="4">
        <v>43192</v>
      </c>
      <c r="N11" s="5">
        <v>18</v>
      </c>
      <c r="O11" s="5" t="str">
        <f>"000479"</f>
        <v>000479</v>
      </c>
      <c r="P11" s="4">
        <v>43201</v>
      </c>
      <c r="Q11" s="7">
        <v>19.77421</v>
      </c>
      <c r="R11" s="7">
        <v>1.9607000000000001</v>
      </c>
      <c r="S11" s="7">
        <v>17.813510000000001</v>
      </c>
      <c r="T11" s="5">
        <v>16</v>
      </c>
      <c r="U11" s="4">
        <v>43203</v>
      </c>
      <c r="V11" s="5">
        <v>9900333496</v>
      </c>
      <c r="W11" s="6" t="s">
        <v>66</v>
      </c>
      <c r="X11" s="5" t="s">
        <v>41</v>
      </c>
      <c r="Y11" s="6" t="s">
        <v>40</v>
      </c>
      <c r="Z11" s="5" t="s">
        <v>47</v>
      </c>
      <c r="AA11" s="6" t="s">
        <v>46</v>
      </c>
      <c r="AB11" s="7">
        <v>0.1977421</v>
      </c>
      <c r="AD11" s="8"/>
      <c r="AF11" s="8"/>
      <c r="AG11" s="8"/>
    </row>
    <row r="12" spans="1:33" x14ac:dyDescent="0.2">
      <c r="A12" s="12">
        <v>538</v>
      </c>
      <c r="B12" s="13" t="s">
        <v>42</v>
      </c>
      <c r="C12" s="13">
        <v>43203</v>
      </c>
      <c r="D12" s="5">
        <v>102</v>
      </c>
      <c r="E12" s="6" t="s">
        <v>53</v>
      </c>
      <c r="F12" s="5" t="s">
        <v>331</v>
      </c>
      <c r="G12" s="6" t="s">
        <v>330</v>
      </c>
      <c r="H12" s="5" t="str">
        <f>"000270"</f>
        <v>000270</v>
      </c>
      <c r="I12" s="4">
        <v>43157</v>
      </c>
      <c r="J12" s="5" t="str">
        <f>"000002"</f>
        <v>000002</v>
      </c>
      <c r="K12" s="4">
        <v>43192</v>
      </c>
      <c r="L12" s="5" t="str">
        <f>"000006"</f>
        <v>000006</v>
      </c>
      <c r="M12" s="4">
        <v>43192</v>
      </c>
      <c r="N12" s="5">
        <v>18</v>
      </c>
      <c r="O12" s="5" t="str">
        <f>"000480"</f>
        <v>000480</v>
      </c>
      <c r="P12" s="4">
        <v>43201</v>
      </c>
      <c r="Q12" s="7">
        <v>19.569420000000001</v>
      </c>
      <c r="R12" s="7">
        <v>1.9501200000000001</v>
      </c>
      <c r="S12" s="7">
        <v>17.619299999999999</v>
      </c>
      <c r="T12" s="5">
        <v>16</v>
      </c>
      <c r="U12" s="4">
        <v>43203</v>
      </c>
      <c r="V12" s="5">
        <v>9900333496</v>
      </c>
      <c r="W12" s="6" t="s">
        <v>66</v>
      </c>
      <c r="X12" s="5" t="s">
        <v>41</v>
      </c>
      <c r="Y12" s="6" t="s">
        <v>40</v>
      </c>
      <c r="Z12" s="5" t="s">
        <v>47</v>
      </c>
      <c r="AA12" s="6" t="s">
        <v>46</v>
      </c>
      <c r="AB12" s="7">
        <v>0.19569420000000001</v>
      </c>
      <c r="AD12" s="8"/>
      <c r="AF12" s="8"/>
      <c r="AG12" s="8"/>
    </row>
    <row r="13" spans="1:33" x14ac:dyDescent="0.2">
      <c r="A13" s="12">
        <v>727</v>
      </c>
      <c r="B13" s="13" t="s">
        <v>42</v>
      </c>
      <c r="C13" s="13">
        <v>43216</v>
      </c>
      <c r="D13" s="5">
        <v>102</v>
      </c>
      <c r="E13" s="6" t="s">
        <v>53</v>
      </c>
      <c r="F13" s="5" t="s">
        <v>329</v>
      </c>
      <c r="G13" s="6" t="s">
        <v>328</v>
      </c>
      <c r="H13" s="5" t="str">
        <f>"000266"</f>
        <v>000266</v>
      </c>
      <c r="I13" s="4">
        <v>43157</v>
      </c>
      <c r="J13" s="5" t="str">
        <f>"000137"</f>
        <v>000137</v>
      </c>
      <c r="K13" s="4">
        <v>43186</v>
      </c>
      <c r="L13" s="5" t="str">
        <f>"000311"</f>
        <v>000311</v>
      </c>
      <c r="M13" s="4">
        <v>43190</v>
      </c>
      <c r="N13" s="5">
        <v>18</v>
      </c>
      <c r="O13" s="5" t="str">
        <f>"000678"</f>
        <v>000678</v>
      </c>
      <c r="P13" s="4">
        <v>43215</v>
      </c>
      <c r="Q13" s="7">
        <v>19.329599999999999</v>
      </c>
      <c r="R13" s="7">
        <v>1.9613700000000001</v>
      </c>
      <c r="S13" s="7">
        <v>17.368230000000001</v>
      </c>
      <c r="T13" s="5">
        <v>27</v>
      </c>
      <c r="U13" s="4">
        <v>43216</v>
      </c>
      <c r="V13" s="5">
        <v>9900333496</v>
      </c>
      <c r="W13" s="6" t="s">
        <v>66</v>
      </c>
      <c r="X13" s="5" t="s">
        <v>41</v>
      </c>
      <c r="Y13" s="6" t="s">
        <v>40</v>
      </c>
      <c r="Z13" s="5" t="s">
        <v>47</v>
      </c>
      <c r="AA13" s="6" t="s">
        <v>46</v>
      </c>
      <c r="AB13" s="7">
        <v>0.193296</v>
      </c>
      <c r="AD13" s="8"/>
      <c r="AF13" s="8"/>
      <c r="AG13" s="8"/>
    </row>
    <row r="14" spans="1:33" x14ac:dyDescent="0.2">
      <c r="A14" s="12">
        <v>728</v>
      </c>
      <c r="B14" s="13" t="s">
        <v>42</v>
      </c>
      <c r="C14" s="13">
        <v>43216</v>
      </c>
      <c r="D14" s="5">
        <v>102</v>
      </c>
      <c r="E14" s="6" t="s">
        <v>53</v>
      </c>
      <c r="F14" s="5" t="s">
        <v>327</v>
      </c>
      <c r="G14" s="6" t="s">
        <v>326</v>
      </c>
      <c r="H14" s="5" t="str">
        <f>"000286"</f>
        <v>000286</v>
      </c>
      <c r="I14" s="4">
        <v>43158</v>
      </c>
      <c r="J14" s="5" t="str">
        <f>"000003"</f>
        <v>000003</v>
      </c>
      <c r="K14" s="4">
        <v>43193</v>
      </c>
      <c r="L14" s="5" t="str">
        <f>"000010"</f>
        <v>000010</v>
      </c>
      <c r="M14" s="4">
        <v>43194</v>
      </c>
      <c r="N14" s="5">
        <v>18</v>
      </c>
      <c r="O14" s="5" t="str">
        <f>"000679"</f>
        <v>000679</v>
      </c>
      <c r="P14" s="4">
        <v>43215</v>
      </c>
      <c r="Q14" s="7">
        <v>19.991520000000001</v>
      </c>
      <c r="R14" s="7">
        <v>1.9611099999999999</v>
      </c>
      <c r="S14" s="7">
        <v>18.03041</v>
      </c>
      <c r="T14" s="5">
        <v>27</v>
      </c>
      <c r="U14" s="4">
        <v>43216</v>
      </c>
      <c r="V14" s="5">
        <v>9900333496</v>
      </c>
      <c r="W14" s="6" t="s">
        <v>66</v>
      </c>
      <c r="X14" s="5" t="s">
        <v>41</v>
      </c>
      <c r="Y14" s="6" t="s">
        <v>40</v>
      </c>
      <c r="Z14" s="5" t="s">
        <v>47</v>
      </c>
      <c r="AA14" s="6" t="s">
        <v>46</v>
      </c>
      <c r="AB14" s="7">
        <v>0.19991520000000002</v>
      </c>
      <c r="AD14" s="8"/>
      <c r="AF14" s="8"/>
      <c r="AG14" s="8"/>
    </row>
    <row r="15" spans="1:33" x14ac:dyDescent="0.2">
      <c r="A15" s="12">
        <v>729</v>
      </c>
      <c r="B15" s="13" t="s">
        <v>42</v>
      </c>
      <c r="C15" s="13">
        <v>43216</v>
      </c>
      <c r="D15" s="5">
        <v>102</v>
      </c>
      <c r="E15" s="6" t="s">
        <v>53</v>
      </c>
      <c r="F15" s="5" t="s">
        <v>325</v>
      </c>
      <c r="G15" s="6" t="s">
        <v>324</v>
      </c>
      <c r="H15" s="5" t="str">
        <f>"000269"</f>
        <v>000269</v>
      </c>
      <c r="I15" s="4">
        <v>43157</v>
      </c>
      <c r="J15" s="5" t="str">
        <f>"000141"</f>
        <v>000141</v>
      </c>
      <c r="K15" s="4">
        <v>43187</v>
      </c>
      <c r="L15" s="5" t="str">
        <f>"000309"</f>
        <v>000309</v>
      </c>
      <c r="M15" s="4">
        <v>43187</v>
      </c>
      <c r="N15" s="5">
        <v>18</v>
      </c>
      <c r="O15" s="5" t="str">
        <f>"000682"</f>
        <v>000682</v>
      </c>
      <c r="P15" s="4">
        <v>43215</v>
      </c>
      <c r="Q15" s="7">
        <v>19.873840000000001</v>
      </c>
      <c r="R15" s="7">
        <v>1.9932799999999999</v>
      </c>
      <c r="S15" s="7">
        <v>17.880559999999999</v>
      </c>
      <c r="T15" s="5">
        <v>27</v>
      </c>
      <c r="U15" s="4">
        <v>43216</v>
      </c>
      <c r="V15" s="5">
        <v>9900333496</v>
      </c>
      <c r="W15" s="6" t="s">
        <v>66</v>
      </c>
      <c r="X15" s="5" t="s">
        <v>41</v>
      </c>
      <c r="Y15" s="6" t="s">
        <v>40</v>
      </c>
      <c r="Z15" s="5" t="s">
        <v>47</v>
      </c>
      <c r="AA15" s="6" t="s">
        <v>46</v>
      </c>
      <c r="AB15" s="7">
        <v>0.19873840000000001</v>
      </c>
      <c r="AD15" s="8"/>
      <c r="AF15" s="8"/>
      <c r="AG15" s="8"/>
    </row>
    <row r="16" spans="1:33" x14ac:dyDescent="0.2">
      <c r="A16" s="12">
        <v>730</v>
      </c>
      <c r="B16" s="13" t="s">
        <v>42</v>
      </c>
      <c r="C16" s="13">
        <v>43216</v>
      </c>
      <c r="D16" s="5">
        <v>102</v>
      </c>
      <c r="E16" s="6" t="s">
        <v>53</v>
      </c>
      <c r="F16" s="5" t="s">
        <v>323</v>
      </c>
      <c r="G16" s="6" t="s">
        <v>322</v>
      </c>
      <c r="H16" s="5" t="str">
        <f>"000342"</f>
        <v>000342</v>
      </c>
      <c r="I16" s="4">
        <v>43179</v>
      </c>
      <c r="J16" s="5" t="str">
        <f>"000138"</f>
        <v>000138</v>
      </c>
      <c r="K16" s="4">
        <v>43186</v>
      </c>
      <c r="L16" s="5" t="str">
        <f>"000310"</f>
        <v>000310</v>
      </c>
      <c r="M16" s="4">
        <v>43190</v>
      </c>
      <c r="N16" s="5">
        <v>18</v>
      </c>
      <c r="O16" s="5" t="str">
        <f>"000684"</f>
        <v>000684</v>
      </c>
      <c r="P16" s="4">
        <v>43215</v>
      </c>
      <c r="Q16" s="7">
        <v>19.988679999999999</v>
      </c>
      <c r="R16" s="7">
        <v>2.00509</v>
      </c>
      <c r="S16" s="7">
        <v>17.98359</v>
      </c>
      <c r="T16" s="5">
        <v>27</v>
      </c>
      <c r="U16" s="4">
        <v>43216</v>
      </c>
      <c r="V16" s="5">
        <v>9900333496</v>
      </c>
      <c r="W16" s="6" t="s">
        <v>66</v>
      </c>
      <c r="X16" s="5" t="s">
        <v>41</v>
      </c>
      <c r="Y16" s="6" t="s">
        <v>40</v>
      </c>
      <c r="Z16" s="5" t="s">
        <v>47</v>
      </c>
      <c r="AA16" s="6" t="s">
        <v>46</v>
      </c>
      <c r="AB16" s="7">
        <v>0.19988679999999998</v>
      </c>
      <c r="AD16" s="8"/>
      <c r="AF16" s="8"/>
      <c r="AG16" s="8"/>
    </row>
    <row r="17" spans="1:33" x14ac:dyDescent="0.2">
      <c r="A17" s="12">
        <v>731</v>
      </c>
      <c r="B17" s="13" t="s">
        <v>42</v>
      </c>
      <c r="C17" s="13">
        <v>43216</v>
      </c>
      <c r="D17" s="5">
        <v>102</v>
      </c>
      <c r="E17" s="6" t="s">
        <v>53</v>
      </c>
      <c r="F17" s="5" t="s">
        <v>321</v>
      </c>
      <c r="G17" s="6" t="s">
        <v>320</v>
      </c>
      <c r="H17" s="5" t="str">
        <f>"000280"</f>
        <v>000280</v>
      </c>
      <c r="I17" s="4">
        <v>43157</v>
      </c>
      <c r="J17" s="5" t="str">
        <f>"000129"</f>
        <v>000129</v>
      </c>
      <c r="K17" s="4">
        <v>43180</v>
      </c>
      <c r="L17" s="5" t="str">
        <f>"000301"</f>
        <v>000301</v>
      </c>
      <c r="M17" s="4">
        <v>43182</v>
      </c>
      <c r="N17" s="5">
        <v>18</v>
      </c>
      <c r="O17" s="5" t="str">
        <f>"000705"</f>
        <v>000705</v>
      </c>
      <c r="P17" s="4">
        <v>43215</v>
      </c>
      <c r="Q17" s="7">
        <v>19.91743</v>
      </c>
      <c r="R17" s="7">
        <v>1.97305</v>
      </c>
      <c r="S17" s="7">
        <v>17.944379999999999</v>
      </c>
      <c r="T17" s="5">
        <v>27</v>
      </c>
      <c r="U17" s="4">
        <v>43216</v>
      </c>
      <c r="V17" s="5">
        <v>9900333496</v>
      </c>
      <c r="W17" s="6" t="s">
        <v>66</v>
      </c>
      <c r="X17" s="5" t="s">
        <v>41</v>
      </c>
      <c r="Y17" s="6" t="s">
        <v>40</v>
      </c>
      <c r="Z17" s="5" t="s">
        <v>47</v>
      </c>
      <c r="AA17" s="6" t="s">
        <v>46</v>
      </c>
      <c r="AB17" s="7">
        <v>0.1991743</v>
      </c>
      <c r="AD17" s="8"/>
      <c r="AF17" s="8"/>
      <c r="AG17" s="8"/>
    </row>
    <row r="18" spans="1:33" x14ac:dyDescent="0.2">
      <c r="A18" s="12">
        <v>732</v>
      </c>
      <c r="B18" s="13" t="s">
        <v>42</v>
      </c>
      <c r="C18" s="13">
        <v>43216</v>
      </c>
      <c r="D18" s="5">
        <v>102</v>
      </c>
      <c r="E18" s="6" t="s">
        <v>53</v>
      </c>
      <c r="F18" s="5" t="s">
        <v>319</v>
      </c>
      <c r="G18" s="6" t="s">
        <v>318</v>
      </c>
      <c r="H18" s="5" t="str">
        <f>"000278"</f>
        <v>000278</v>
      </c>
      <c r="I18" s="4">
        <v>43157</v>
      </c>
      <c r="J18" s="5" t="str">
        <f>"000130"</f>
        <v>000130</v>
      </c>
      <c r="K18" s="4">
        <v>43180</v>
      </c>
      <c r="L18" s="5" t="str">
        <f>"000297"</f>
        <v>000297</v>
      </c>
      <c r="M18" s="4">
        <v>43182</v>
      </c>
      <c r="N18" s="5">
        <v>18</v>
      </c>
      <c r="O18" s="5" t="str">
        <f>"000706"</f>
        <v>000706</v>
      </c>
      <c r="P18" s="4">
        <v>43215</v>
      </c>
      <c r="Q18" s="7">
        <v>19.91743</v>
      </c>
      <c r="R18" s="7">
        <v>1.9724900000000001</v>
      </c>
      <c r="S18" s="7">
        <v>17.944939999999999</v>
      </c>
      <c r="T18" s="5">
        <v>27</v>
      </c>
      <c r="U18" s="4">
        <v>43216</v>
      </c>
      <c r="V18" s="5">
        <v>9900333496</v>
      </c>
      <c r="W18" s="6" t="s">
        <v>66</v>
      </c>
      <c r="X18" s="5" t="s">
        <v>41</v>
      </c>
      <c r="Y18" s="6" t="s">
        <v>40</v>
      </c>
      <c r="Z18" s="5" t="s">
        <v>47</v>
      </c>
      <c r="AA18" s="6" t="s">
        <v>46</v>
      </c>
      <c r="AB18" s="7">
        <v>0.1991743</v>
      </c>
      <c r="AD18" s="8"/>
      <c r="AF18" s="8"/>
      <c r="AG18" s="8"/>
    </row>
    <row r="19" spans="1:33" x14ac:dyDescent="0.2">
      <c r="A19" s="12">
        <v>968</v>
      </c>
      <c r="B19" s="13" t="s">
        <v>34</v>
      </c>
      <c r="C19" s="13">
        <v>43229</v>
      </c>
      <c r="D19" s="5">
        <v>102</v>
      </c>
      <c r="E19" s="6" t="s">
        <v>53</v>
      </c>
      <c r="F19" s="5" t="s">
        <v>317</v>
      </c>
      <c r="G19" s="6" t="s">
        <v>316</v>
      </c>
      <c r="H19" s="5" t="str">
        <f>"0 0414"</f>
        <v>0 0414</v>
      </c>
      <c r="I19" s="4">
        <v>42763</v>
      </c>
      <c r="J19" s="5" t="str">
        <f>"000134"</f>
        <v>000134</v>
      </c>
      <c r="K19" s="4">
        <v>43181</v>
      </c>
      <c r="L19" s="5" t="str">
        <f>"000293"</f>
        <v>000293</v>
      </c>
      <c r="M19" s="4">
        <v>43181</v>
      </c>
      <c r="N19" s="5">
        <v>16</v>
      </c>
      <c r="O19" s="5" t="str">
        <f>"001114"</f>
        <v>001114</v>
      </c>
      <c r="P19" s="4">
        <v>43227</v>
      </c>
      <c r="Q19" s="7">
        <v>11.10683</v>
      </c>
      <c r="R19" s="7">
        <v>0.16069</v>
      </c>
      <c r="S19" s="7">
        <v>10.94614</v>
      </c>
      <c r="T19" s="5">
        <v>43</v>
      </c>
      <c r="U19" s="4">
        <v>43229</v>
      </c>
      <c r="V19" s="5">
        <v>0</v>
      </c>
      <c r="W19" s="6" t="s">
        <v>315</v>
      </c>
      <c r="X19" s="5" t="s">
        <v>116</v>
      </c>
      <c r="Y19" s="6" t="s">
        <v>115</v>
      </c>
      <c r="Z19" s="5" t="s">
        <v>47</v>
      </c>
      <c r="AA19" s="6" t="s">
        <v>46</v>
      </c>
      <c r="AB19" s="7">
        <v>0.11106830000000001</v>
      </c>
      <c r="AD19" s="8"/>
      <c r="AF19" s="8"/>
      <c r="AG19" s="8"/>
    </row>
    <row r="20" spans="1:33" x14ac:dyDescent="0.2">
      <c r="A20" s="12">
        <v>969</v>
      </c>
      <c r="B20" s="13" t="s">
        <v>34</v>
      </c>
      <c r="C20" s="13">
        <v>43229</v>
      </c>
      <c r="D20" s="5">
        <v>102</v>
      </c>
      <c r="E20" s="6" t="s">
        <v>53</v>
      </c>
      <c r="F20" s="5" t="s">
        <v>314</v>
      </c>
      <c r="G20" s="6" t="s">
        <v>313</v>
      </c>
      <c r="H20" s="5" t="str">
        <f>" 00414"</f>
        <v xml:space="preserve"> 00414</v>
      </c>
      <c r="I20" s="4">
        <v>42763</v>
      </c>
      <c r="J20" s="5" t="str">
        <f>"000074"</f>
        <v>000074</v>
      </c>
      <c r="K20" s="4">
        <v>42886</v>
      </c>
      <c r="L20" s="5" t="str">
        <f>"000203"</f>
        <v>000203</v>
      </c>
      <c r="M20" s="4">
        <v>42886</v>
      </c>
      <c r="N20" s="5">
        <v>16</v>
      </c>
      <c r="O20" s="5" t="str">
        <f>"003193"</f>
        <v>003193</v>
      </c>
      <c r="P20" s="4">
        <v>42902</v>
      </c>
      <c r="Q20" s="7">
        <v>5.5971700000000002</v>
      </c>
      <c r="R20" s="7">
        <v>0.12254</v>
      </c>
      <c r="S20" s="7">
        <v>5.4746300000000003</v>
      </c>
      <c r="T20" s="5">
        <v>43</v>
      </c>
      <c r="U20" s="4">
        <v>43229</v>
      </c>
      <c r="V20" s="5">
        <v>0</v>
      </c>
      <c r="W20" s="6" t="s">
        <v>242</v>
      </c>
      <c r="X20" s="5" t="s">
        <v>116</v>
      </c>
      <c r="Y20" s="6" t="s">
        <v>115</v>
      </c>
      <c r="Z20" s="5" t="s">
        <v>47</v>
      </c>
      <c r="AA20" s="6" t="s">
        <v>46</v>
      </c>
      <c r="AB20" s="7">
        <v>5.5971699999999999E-2</v>
      </c>
      <c r="AD20" s="8"/>
      <c r="AF20" s="8"/>
      <c r="AG20" s="8"/>
    </row>
    <row r="21" spans="1:33" x14ac:dyDescent="0.2">
      <c r="A21" s="12">
        <v>970</v>
      </c>
      <c r="B21" s="13" t="s">
        <v>34</v>
      </c>
      <c r="C21" s="13">
        <v>43229</v>
      </c>
      <c r="D21" s="5">
        <v>102</v>
      </c>
      <c r="E21" s="6" t="s">
        <v>53</v>
      </c>
      <c r="F21" s="5" t="s">
        <v>121</v>
      </c>
      <c r="G21" s="6" t="s">
        <v>272</v>
      </c>
      <c r="H21" s="5" t="str">
        <f>"000309"</f>
        <v>000309</v>
      </c>
      <c r="I21" s="4">
        <v>43159</v>
      </c>
      <c r="J21" s="5" t="str">
        <f>"000021"</f>
        <v>000021</v>
      </c>
      <c r="K21" s="4">
        <v>43243</v>
      </c>
      <c r="L21" s="5" t="str">
        <f>"000055"</f>
        <v>000055</v>
      </c>
      <c r="M21" s="4">
        <v>43243</v>
      </c>
      <c r="N21" s="5">
        <v>17</v>
      </c>
      <c r="O21" s="5" t="str">
        <f>"002442"</f>
        <v>002442</v>
      </c>
      <c r="P21" s="4">
        <v>43263</v>
      </c>
      <c r="Q21" s="7">
        <v>50.077489999999997</v>
      </c>
      <c r="R21" s="7">
        <v>2.0446900000000001</v>
      </c>
      <c r="S21" s="7">
        <v>48.032800000000002</v>
      </c>
      <c r="T21" s="5">
        <v>47</v>
      </c>
      <c r="U21" s="4">
        <v>43229</v>
      </c>
      <c r="V21" s="5">
        <v>0</v>
      </c>
      <c r="W21" s="6" t="s">
        <v>119</v>
      </c>
      <c r="X21" s="5" t="s">
        <v>28</v>
      </c>
      <c r="Y21" s="6" t="s">
        <v>29</v>
      </c>
      <c r="Z21" s="5" t="s">
        <v>47</v>
      </c>
      <c r="AA21" s="6" t="s">
        <v>46</v>
      </c>
      <c r="AB21" s="7">
        <v>0.50077490000000002</v>
      </c>
      <c r="AD21" s="8"/>
      <c r="AF21" s="8"/>
      <c r="AG21" s="8"/>
    </row>
    <row r="22" spans="1:33" x14ac:dyDescent="0.2">
      <c r="A22" s="12">
        <v>971</v>
      </c>
      <c r="B22" s="13" t="s">
        <v>34</v>
      </c>
      <c r="C22" s="13">
        <v>43229</v>
      </c>
      <c r="D22" s="5">
        <v>102</v>
      </c>
      <c r="E22" s="6" t="s">
        <v>53</v>
      </c>
      <c r="F22" s="5" t="s">
        <v>121</v>
      </c>
      <c r="G22" s="6" t="s">
        <v>272</v>
      </c>
      <c r="H22" s="5" t="str">
        <f>"000309"</f>
        <v>000309</v>
      </c>
      <c r="I22" s="4">
        <v>43159</v>
      </c>
      <c r="J22" s="5" t="str">
        <f>"000021"</f>
        <v>000021</v>
      </c>
      <c r="K22" s="4">
        <v>43243</v>
      </c>
      <c r="L22" s="5" t="str">
        <f>"000055"</f>
        <v>000055</v>
      </c>
      <c r="M22" s="4">
        <v>43243</v>
      </c>
      <c r="N22" s="5">
        <v>17</v>
      </c>
      <c r="O22" s="5" t="str">
        <f>"002442"</f>
        <v>002442</v>
      </c>
      <c r="P22" s="4">
        <v>43263</v>
      </c>
      <c r="Q22" s="7">
        <v>75.030739999999994</v>
      </c>
      <c r="R22" s="7">
        <v>3.0732900000000001</v>
      </c>
      <c r="S22" s="7">
        <v>71.957449999999994</v>
      </c>
      <c r="T22" s="5">
        <v>47</v>
      </c>
      <c r="U22" s="4">
        <v>43229</v>
      </c>
      <c r="V22" s="5">
        <v>0</v>
      </c>
      <c r="W22" s="6" t="s">
        <v>119</v>
      </c>
      <c r="X22" s="5" t="s">
        <v>28</v>
      </c>
      <c r="Y22" s="6" t="s">
        <v>29</v>
      </c>
      <c r="Z22" s="5" t="s">
        <v>47</v>
      </c>
      <c r="AA22" s="6" t="s">
        <v>46</v>
      </c>
      <c r="AB22" s="7">
        <v>0.75030739999999996</v>
      </c>
      <c r="AD22" s="8"/>
      <c r="AF22" s="8"/>
      <c r="AG22" s="8"/>
    </row>
    <row r="23" spans="1:33" x14ac:dyDescent="0.2">
      <c r="A23" s="12">
        <v>1545</v>
      </c>
      <c r="B23" s="13" t="s">
        <v>34</v>
      </c>
      <c r="C23" s="13">
        <v>43251</v>
      </c>
      <c r="D23" s="5">
        <v>102</v>
      </c>
      <c r="E23" s="6" t="s">
        <v>53</v>
      </c>
      <c r="F23" s="5" t="s">
        <v>312</v>
      </c>
      <c r="G23" s="6" t="s">
        <v>311</v>
      </c>
      <c r="H23" s="5" t="str">
        <f>"000052"</f>
        <v>000052</v>
      </c>
      <c r="I23" s="4">
        <v>42539</v>
      </c>
      <c r="J23" s="5" t="str">
        <f>"000139"</f>
        <v>000139</v>
      </c>
      <c r="K23" s="4">
        <v>42612</v>
      </c>
      <c r="L23" s="5" t="str">
        <f>"000494"</f>
        <v>000494</v>
      </c>
      <c r="M23" s="4">
        <v>42613</v>
      </c>
      <c r="N23" s="5">
        <v>16</v>
      </c>
      <c r="O23" s="5" t="str">
        <f>"001729"</f>
        <v>001729</v>
      </c>
      <c r="P23" s="4">
        <v>43242</v>
      </c>
      <c r="Q23" s="7">
        <v>14.84552</v>
      </c>
      <c r="R23" s="7">
        <v>2.0112999999999999</v>
      </c>
      <c r="S23" s="7">
        <v>12.83422</v>
      </c>
      <c r="T23" s="5">
        <v>67</v>
      </c>
      <c r="U23" s="4">
        <v>43251</v>
      </c>
      <c r="V23" s="5">
        <v>9900333496</v>
      </c>
      <c r="W23" s="6" t="s">
        <v>50</v>
      </c>
      <c r="X23" s="5" t="s">
        <v>49</v>
      </c>
      <c r="Y23" s="6" t="s">
        <v>48</v>
      </c>
      <c r="Z23" s="5" t="s">
        <v>47</v>
      </c>
      <c r="AA23" s="6" t="s">
        <v>46</v>
      </c>
      <c r="AB23" s="7">
        <v>0.14845520000000001</v>
      </c>
      <c r="AD23" s="8"/>
      <c r="AF23" s="8"/>
      <c r="AG23" s="8"/>
    </row>
    <row r="24" spans="1:33" x14ac:dyDescent="0.2">
      <c r="A24" s="12">
        <v>1546</v>
      </c>
      <c r="B24" s="13" t="s">
        <v>34</v>
      </c>
      <c r="C24" s="13">
        <v>43251</v>
      </c>
      <c r="D24" s="5">
        <v>102</v>
      </c>
      <c r="E24" s="6" t="s">
        <v>53</v>
      </c>
      <c r="F24" s="5" t="s">
        <v>310</v>
      </c>
      <c r="G24" s="6" t="s">
        <v>309</v>
      </c>
      <c r="H24" s="5" t="str">
        <f>"000051"</f>
        <v>000051</v>
      </c>
      <c r="I24" s="4">
        <v>42539</v>
      </c>
      <c r="J24" s="5" t="str">
        <f>"000138"</f>
        <v>000138</v>
      </c>
      <c r="K24" s="4">
        <v>42612</v>
      </c>
      <c r="L24" s="5" t="str">
        <f>"000495"</f>
        <v>000495</v>
      </c>
      <c r="M24" s="4">
        <v>42613</v>
      </c>
      <c r="N24" s="5">
        <v>16</v>
      </c>
      <c r="O24" s="5" t="str">
        <f>"001730"</f>
        <v>001730</v>
      </c>
      <c r="P24" s="4">
        <v>43242</v>
      </c>
      <c r="Q24" s="7">
        <v>19.726500000000001</v>
      </c>
      <c r="R24" s="7">
        <v>2.6849099999999999</v>
      </c>
      <c r="S24" s="7">
        <v>17.041589999999999</v>
      </c>
      <c r="T24" s="5">
        <v>67</v>
      </c>
      <c r="U24" s="4">
        <v>43251</v>
      </c>
      <c r="V24" s="5">
        <v>9900333496</v>
      </c>
      <c r="W24" s="6" t="s">
        <v>50</v>
      </c>
      <c r="X24" s="5" t="s">
        <v>49</v>
      </c>
      <c r="Y24" s="6" t="s">
        <v>48</v>
      </c>
      <c r="Z24" s="5" t="s">
        <v>47</v>
      </c>
      <c r="AA24" s="6" t="s">
        <v>46</v>
      </c>
      <c r="AB24" s="7">
        <v>0.19726500000000002</v>
      </c>
      <c r="AD24" s="8"/>
      <c r="AF24" s="8"/>
      <c r="AG24" s="8"/>
    </row>
    <row r="25" spans="1:33" x14ac:dyDescent="0.2">
      <c r="A25" s="12">
        <v>1547</v>
      </c>
      <c r="B25" s="13" t="s">
        <v>34</v>
      </c>
      <c r="C25" s="13">
        <v>43251</v>
      </c>
      <c r="D25" s="5">
        <v>102</v>
      </c>
      <c r="E25" s="6" t="s">
        <v>53</v>
      </c>
      <c r="F25" s="5" t="s">
        <v>308</v>
      </c>
      <c r="G25" s="6" t="s">
        <v>307</v>
      </c>
      <c r="H25" s="5" t="str">
        <f>" 00047"</f>
        <v xml:space="preserve"> 00047</v>
      </c>
      <c r="I25" s="4">
        <v>42539</v>
      </c>
      <c r="J25" s="5" t="str">
        <f>"000140"</f>
        <v>000140</v>
      </c>
      <c r="K25" s="4">
        <v>42612</v>
      </c>
      <c r="L25" s="5" t="str">
        <f>"000496"</f>
        <v>000496</v>
      </c>
      <c r="M25" s="4">
        <v>42613</v>
      </c>
      <c r="N25" s="5">
        <v>16</v>
      </c>
      <c r="O25" s="5" t="str">
        <f>"001731"</f>
        <v>001731</v>
      </c>
      <c r="P25" s="4">
        <v>43242</v>
      </c>
      <c r="Q25" s="7">
        <v>19.813289999999999</v>
      </c>
      <c r="R25" s="7">
        <v>2.7034099999999999</v>
      </c>
      <c r="S25" s="7">
        <v>17.10988</v>
      </c>
      <c r="T25" s="5">
        <v>67</v>
      </c>
      <c r="U25" s="4">
        <v>43251</v>
      </c>
      <c r="V25" s="5">
        <v>9900333496</v>
      </c>
      <c r="W25" s="6" t="s">
        <v>43</v>
      </c>
      <c r="X25" s="5" t="s">
        <v>49</v>
      </c>
      <c r="Y25" s="6" t="s">
        <v>48</v>
      </c>
      <c r="Z25" s="5" t="s">
        <v>47</v>
      </c>
      <c r="AA25" s="6" t="s">
        <v>46</v>
      </c>
      <c r="AB25" s="7">
        <v>0.19813289999999997</v>
      </c>
      <c r="AD25" s="8"/>
      <c r="AF25" s="8"/>
      <c r="AG25" s="8"/>
    </row>
    <row r="26" spans="1:33" x14ac:dyDescent="0.2">
      <c r="A26" s="12">
        <v>1548</v>
      </c>
      <c r="B26" s="13" t="s">
        <v>34</v>
      </c>
      <c r="C26" s="13">
        <v>43251</v>
      </c>
      <c r="D26" s="5">
        <v>102</v>
      </c>
      <c r="E26" s="6" t="s">
        <v>53</v>
      </c>
      <c r="F26" s="5" t="s">
        <v>306</v>
      </c>
      <c r="G26" s="6" t="s">
        <v>305</v>
      </c>
      <c r="H26" s="5" t="str">
        <f>"000049"</f>
        <v>000049</v>
      </c>
      <c r="I26" s="4">
        <v>42539</v>
      </c>
      <c r="J26" s="5" t="str">
        <f>"000142"</f>
        <v>000142</v>
      </c>
      <c r="K26" s="4">
        <v>42612</v>
      </c>
      <c r="L26" s="5" t="str">
        <f>"000497"</f>
        <v>000497</v>
      </c>
      <c r="M26" s="4">
        <v>42613</v>
      </c>
      <c r="N26" s="5">
        <v>16</v>
      </c>
      <c r="O26" s="5" t="str">
        <f>"001732"</f>
        <v>001732</v>
      </c>
      <c r="P26" s="4">
        <v>43242</v>
      </c>
      <c r="Q26" s="7">
        <v>14.86016</v>
      </c>
      <c r="R26" s="7">
        <v>2.0600700000000001</v>
      </c>
      <c r="S26" s="7">
        <v>12.800090000000001</v>
      </c>
      <c r="T26" s="5">
        <v>67</v>
      </c>
      <c r="U26" s="4">
        <v>43251</v>
      </c>
      <c r="V26" s="5">
        <v>9900333496</v>
      </c>
      <c r="W26" s="6" t="s">
        <v>50</v>
      </c>
      <c r="X26" s="5" t="s">
        <v>49</v>
      </c>
      <c r="Y26" s="6" t="s">
        <v>48</v>
      </c>
      <c r="Z26" s="5" t="s">
        <v>47</v>
      </c>
      <c r="AA26" s="6" t="s">
        <v>46</v>
      </c>
      <c r="AB26" s="7">
        <v>0.1486016</v>
      </c>
      <c r="AD26" s="8"/>
      <c r="AF26" s="8"/>
      <c r="AG26" s="8"/>
    </row>
    <row r="27" spans="1:33" x14ac:dyDescent="0.2">
      <c r="A27" s="12">
        <v>1549</v>
      </c>
      <c r="B27" s="13" t="s">
        <v>34</v>
      </c>
      <c r="C27" s="13">
        <v>43251</v>
      </c>
      <c r="D27" s="5">
        <v>102</v>
      </c>
      <c r="E27" s="6" t="s">
        <v>53</v>
      </c>
      <c r="F27" s="5" t="s">
        <v>304</v>
      </c>
      <c r="G27" s="6" t="s">
        <v>303</v>
      </c>
      <c r="H27" s="5" t="str">
        <f>"000050"</f>
        <v>000050</v>
      </c>
      <c r="I27" s="4">
        <v>42539</v>
      </c>
      <c r="J27" s="5" t="str">
        <f>"000141"</f>
        <v>000141</v>
      </c>
      <c r="K27" s="4">
        <v>42612</v>
      </c>
      <c r="L27" s="5" t="str">
        <f>"000498"</f>
        <v>000498</v>
      </c>
      <c r="M27" s="4">
        <v>42613</v>
      </c>
      <c r="N27" s="5">
        <v>16</v>
      </c>
      <c r="O27" s="5" t="str">
        <f>"001733"</f>
        <v>001733</v>
      </c>
      <c r="P27" s="4">
        <v>43242</v>
      </c>
      <c r="Q27" s="7">
        <v>14.813789999999999</v>
      </c>
      <c r="R27" s="7">
        <v>2.0034700000000001</v>
      </c>
      <c r="S27" s="7">
        <v>12.810320000000001</v>
      </c>
      <c r="T27" s="5">
        <v>67</v>
      </c>
      <c r="U27" s="4">
        <v>43251</v>
      </c>
      <c r="V27" s="5">
        <v>9900333496</v>
      </c>
      <c r="W27" s="6" t="s">
        <v>43</v>
      </c>
      <c r="X27" s="5" t="s">
        <v>49</v>
      </c>
      <c r="Y27" s="6" t="s">
        <v>48</v>
      </c>
      <c r="Z27" s="5" t="s">
        <v>47</v>
      </c>
      <c r="AA27" s="6" t="s">
        <v>46</v>
      </c>
      <c r="AB27" s="7">
        <v>0.14813789999999999</v>
      </c>
      <c r="AD27" s="8"/>
      <c r="AF27" s="8"/>
      <c r="AG27" s="8"/>
    </row>
    <row r="28" spans="1:33" x14ac:dyDescent="0.2">
      <c r="A28" s="12">
        <v>1550</v>
      </c>
      <c r="B28" s="13" t="s">
        <v>34</v>
      </c>
      <c r="C28" s="13">
        <v>43251</v>
      </c>
      <c r="D28" s="5">
        <v>102</v>
      </c>
      <c r="E28" s="6" t="s">
        <v>53</v>
      </c>
      <c r="F28" s="5" t="s">
        <v>302</v>
      </c>
      <c r="G28" s="6" t="s">
        <v>301</v>
      </c>
      <c r="H28" s="5" t="str">
        <f>"000523"</f>
        <v>000523</v>
      </c>
      <c r="I28" s="4">
        <v>42094</v>
      </c>
      <c r="J28" s="5" t="str">
        <f>"000146"</f>
        <v>000146</v>
      </c>
      <c r="K28" s="4">
        <v>42612</v>
      </c>
      <c r="L28" s="5" t="str">
        <f>"000505"</f>
        <v>000505</v>
      </c>
      <c r="M28" s="4">
        <v>42613</v>
      </c>
      <c r="N28" s="5">
        <v>15</v>
      </c>
      <c r="O28" s="5" t="str">
        <f>"001741"</f>
        <v>001741</v>
      </c>
      <c r="P28" s="4">
        <v>43242</v>
      </c>
      <c r="Q28" s="7">
        <v>19.77638</v>
      </c>
      <c r="R28" s="7">
        <v>2.9880499999999999</v>
      </c>
      <c r="S28" s="7">
        <v>16.788329999999998</v>
      </c>
      <c r="T28" s="5">
        <v>67</v>
      </c>
      <c r="U28" s="4">
        <v>43251</v>
      </c>
      <c r="V28" s="5">
        <v>9900333496</v>
      </c>
      <c r="W28" s="6" t="s">
        <v>50</v>
      </c>
      <c r="X28" s="5" t="s">
        <v>139</v>
      </c>
      <c r="Y28" s="6" t="s">
        <v>138</v>
      </c>
      <c r="Z28" s="5" t="s">
        <v>47</v>
      </c>
      <c r="AA28" s="6" t="s">
        <v>46</v>
      </c>
      <c r="AB28" s="7">
        <v>0.19776379999999999</v>
      </c>
      <c r="AD28" s="8"/>
      <c r="AF28" s="8"/>
      <c r="AG28" s="8"/>
    </row>
    <row r="29" spans="1:33" x14ac:dyDescent="0.2">
      <c r="A29" s="12">
        <v>1551</v>
      </c>
      <c r="B29" s="13" t="s">
        <v>34</v>
      </c>
      <c r="C29" s="13">
        <v>43251</v>
      </c>
      <c r="D29" s="5">
        <v>102</v>
      </c>
      <c r="E29" s="6" t="s">
        <v>53</v>
      </c>
      <c r="F29" s="5" t="s">
        <v>300</v>
      </c>
      <c r="G29" s="6" t="s">
        <v>299</v>
      </c>
      <c r="H29" s="5" t="str">
        <f>"000048"</f>
        <v>000048</v>
      </c>
      <c r="I29" s="4">
        <v>42539</v>
      </c>
      <c r="J29" s="5" t="str">
        <f>"000119"</f>
        <v>000119</v>
      </c>
      <c r="K29" s="4">
        <v>42598</v>
      </c>
      <c r="L29" s="5" t="str">
        <f>"000517"</f>
        <v>000517</v>
      </c>
      <c r="M29" s="4">
        <v>42613</v>
      </c>
      <c r="N29" s="5">
        <v>16</v>
      </c>
      <c r="O29" s="5" t="str">
        <f>"001747"</f>
        <v>001747</v>
      </c>
      <c r="P29" s="4">
        <v>43242</v>
      </c>
      <c r="Q29" s="7">
        <v>19.78388</v>
      </c>
      <c r="R29" s="7">
        <v>2.7197800000000001</v>
      </c>
      <c r="S29" s="7">
        <v>17.0641</v>
      </c>
      <c r="T29" s="5">
        <v>67</v>
      </c>
      <c r="U29" s="4">
        <v>43251</v>
      </c>
      <c r="V29" s="5">
        <v>9900333496</v>
      </c>
      <c r="W29" s="6" t="s">
        <v>50</v>
      </c>
      <c r="X29" s="5" t="s">
        <v>49</v>
      </c>
      <c r="Y29" s="6" t="s">
        <v>48</v>
      </c>
      <c r="Z29" s="5" t="s">
        <v>47</v>
      </c>
      <c r="AA29" s="6" t="s">
        <v>46</v>
      </c>
      <c r="AB29" s="7">
        <v>0.19783880000000001</v>
      </c>
      <c r="AD29" s="8"/>
      <c r="AF29" s="8"/>
      <c r="AG29" s="8"/>
    </row>
    <row r="30" spans="1:33" x14ac:dyDescent="0.2">
      <c r="A30" s="12">
        <v>1552</v>
      </c>
      <c r="B30" s="13" t="s">
        <v>34</v>
      </c>
      <c r="C30" s="13">
        <v>43251</v>
      </c>
      <c r="D30" s="5">
        <v>102</v>
      </c>
      <c r="E30" s="6" t="s">
        <v>53</v>
      </c>
      <c r="F30" s="5" t="s">
        <v>298</v>
      </c>
      <c r="G30" s="6" t="s">
        <v>297</v>
      </c>
      <c r="H30" s="5" t="str">
        <f>"000149"</f>
        <v>000149</v>
      </c>
      <c r="I30" s="4">
        <v>42550</v>
      </c>
      <c r="J30" s="5" t="str">
        <f>"000168"</f>
        <v>000168</v>
      </c>
      <c r="K30" s="4">
        <v>42625</v>
      </c>
      <c r="L30" s="5" t="str">
        <f>"000560"</f>
        <v>000560</v>
      </c>
      <c r="M30" s="4">
        <v>42628</v>
      </c>
      <c r="N30" s="5">
        <v>16</v>
      </c>
      <c r="O30" s="5" t="str">
        <f>"002059"</f>
        <v>002059</v>
      </c>
      <c r="P30" s="4">
        <v>43250</v>
      </c>
      <c r="Q30" s="7">
        <v>9.8895999999999997</v>
      </c>
      <c r="R30" s="7">
        <v>1.2693399999999999</v>
      </c>
      <c r="S30" s="7">
        <v>8.62026</v>
      </c>
      <c r="T30" s="5">
        <v>67</v>
      </c>
      <c r="U30" s="4">
        <v>43251</v>
      </c>
      <c r="V30" s="5">
        <v>9900333496</v>
      </c>
      <c r="W30" s="6" t="s">
        <v>43</v>
      </c>
      <c r="X30" s="5" t="s">
        <v>49</v>
      </c>
      <c r="Y30" s="6" t="s">
        <v>48</v>
      </c>
      <c r="Z30" s="5" t="s">
        <v>47</v>
      </c>
      <c r="AA30" s="6" t="s">
        <v>46</v>
      </c>
      <c r="AB30" s="7">
        <v>9.8895999999999998E-2</v>
      </c>
      <c r="AD30" s="8"/>
      <c r="AF30" s="8"/>
      <c r="AG30" s="8"/>
    </row>
    <row r="31" spans="1:33" x14ac:dyDescent="0.2">
      <c r="A31" s="12">
        <v>1838</v>
      </c>
      <c r="B31" s="13" t="s">
        <v>45</v>
      </c>
      <c r="C31" s="13">
        <v>43257</v>
      </c>
      <c r="D31" s="5">
        <v>102</v>
      </c>
      <c r="E31" s="6" t="s">
        <v>53</v>
      </c>
      <c r="F31" s="5" t="s">
        <v>121</v>
      </c>
      <c r="G31" s="6" t="s">
        <v>272</v>
      </c>
      <c r="H31" s="5" t="str">
        <f>"000309"</f>
        <v>000309</v>
      </c>
      <c r="I31" s="4">
        <v>43159</v>
      </c>
      <c r="J31" s="5" t="str">
        <f>"000021"</f>
        <v>000021</v>
      </c>
      <c r="K31" s="4">
        <v>43243</v>
      </c>
      <c r="L31" s="5" t="str">
        <f>"000055"</f>
        <v>000055</v>
      </c>
      <c r="M31" s="4">
        <v>43243</v>
      </c>
      <c r="N31" s="5">
        <v>17</v>
      </c>
      <c r="O31" s="5" t="str">
        <f>"002442"</f>
        <v>002442</v>
      </c>
      <c r="P31" s="4">
        <v>43263</v>
      </c>
      <c r="Q31" s="7">
        <v>102.21173</v>
      </c>
      <c r="R31" s="7">
        <v>3.92456</v>
      </c>
      <c r="S31" s="7">
        <v>98.287170000000003</v>
      </c>
      <c r="T31" s="5">
        <v>70</v>
      </c>
      <c r="U31" s="4">
        <v>43257</v>
      </c>
      <c r="V31" s="5">
        <v>0</v>
      </c>
      <c r="W31" s="6" t="s">
        <v>119</v>
      </c>
      <c r="X31" s="5" t="s">
        <v>28</v>
      </c>
      <c r="Y31" s="6" t="s">
        <v>29</v>
      </c>
      <c r="Z31" s="5" t="s">
        <v>47</v>
      </c>
      <c r="AA31" s="6" t="s">
        <v>46</v>
      </c>
      <c r="AB31" s="7">
        <v>1.0221173000000001</v>
      </c>
      <c r="AD31" s="8"/>
      <c r="AF31" s="8"/>
      <c r="AG31" s="8"/>
    </row>
    <row r="32" spans="1:33" x14ac:dyDescent="0.2">
      <c r="A32" s="12">
        <v>1839</v>
      </c>
      <c r="B32" s="13" t="s">
        <v>45</v>
      </c>
      <c r="C32" s="13">
        <v>43257</v>
      </c>
      <c r="D32" s="5">
        <v>102</v>
      </c>
      <c r="E32" s="6" t="s">
        <v>53</v>
      </c>
      <c r="F32" s="5" t="s">
        <v>296</v>
      </c>
      <c r="G32" s="6" t="s">
        <v>295</v>
      </c>
      <c r="H32" s="5" t="str">
        <f>"000279"</f>
        <v>000279</v>
      </c>
      <c r="I32" s="4">
        <v>43157</v>
      </c>
      <c r="J32" s="5" t="str">
        <f>"000016"</f>
        <v>000016</v>
      </c>
      <c r="K32" s="4">
        <v>43216</v>
      </c>
      <c r="L32" s="5" t="str">
        <f>"000037"</f>
        <v>000037</v>
      </c>
      <c r="M32" s="4">
        <v>43216</v>
      </c>
      <c r="N32" s="5">
        <v>18</v>
      </c>
      <c r="O32" s="5" t="str">
        <f>"002044"</f>
        <v>002044</v>
      </c>
      <c r="P32" s="4">
        <v>43249</v>
      </c>
      <c r="Q32" s="7">
        <v>19.98481</v>
      </c>
      <c r="R32" s="7">
        <v>2.00197</v>
      </c>
      <c r="S32" s="7">
        <v>17.982839999999999</v>
      </c>
      <c r="T32" s="5">
        <v>73</v>
      </c>
      <c r="U32" s="4">
        <v>43257</v>
      </c>
      <c r="V32" s="5">
        <v>9900333496</v>
      </c>
      <c r="W32" s="6" t="s">
        <v>66</v>
      </c>
      <c r="X32" s="5" t="s">
        <v>41</v>
      </c>
      <c r="Y32" s="6" t="s">
        <v>40</v>
      </c>
      <c r="Z32" s="5" t="s">
        <v>47</v>
      </c>
      <c r="AA32" s="6" t="s">
        <v>46</v>
      </c>
      <c r="AB32" s="7">
        <v>0.1998481</v>
      </c>
      <c r="AD32" s="8"/>
      <c r="AF32" s="8"/>
      <c r="AG32" s="8"/>
    </row>
    <row r="33" spans="1:33" x14ac:dyDescent="0.2">
      <c r="A33" s="12">
        <v>1840</v>
      </c>
      <c r="B33" s="13" t="s">
        <v>45</v>
      </c>
      <c r="C33" s="13">
        <v>43257</v>
      </c>
      <c r="D33" s="5">
        <v>102</v>
      </c>
      <c r="E33" s="6" t="s">
        <v>53</v>
      </c>
      <c r="F33" s="5" t="s">
        <v>294</v>
      </c>
      <c r="G33" s="6" t="s">
        <v>293</v>
      </c>
      <c r="H33" s="5" t="str">
        <f>"000274"</f>
        <v>000274</v>
      </c>
      <c r="I33" s="4">
        <v>43157</v>
      </c>
      <c r="J33" s="5" t="str">
        <f>"000020"</f>
        <v>000020</v>
      </c>
      <c r="K33" s="4">
        <v>43237</v>
      </c>
      <c r="L33" s="5" t="str">
        <f>"000053"</f>
        <v>000053</v>
      </c>
      <c r="M33" s="4">
        <v>43237</v>
      </c>
      <c r="N33" s="5">
        <v>18</v>
      </c>
      <c r="O33" s="5" t="str">
        <f>"002050"</f>
        <v>002050</v>
      </c>
      <c r="P33" s="4">
        <v>43249</v>
      </c>
      <c r="Q33" s="7">
        <v>19.888349999999999</v>
      </c>
      <c r="R33" s="7">
        <v>1.9890699999999999</v>
      </c>
      <c r="S33" s="7">
        <v>17.899280000000001</v>
      </c>
      <c r="T33" s="5">
        <v>73</v>
      </c>
      <c r="U33" s="4">
        <v>43257</v>
      </c>
      <c r="V33" s="5">
        <v>9900333496</v>
      </c>
      <c r="W33" s="6" t="s">
        <v>66</v>
      </c>
      <c r="X33" s="5" t="s">
        <v>41</v>
      </c>
      <c r="Y33" s="6" t="s">
        <v>40</v>
      </c>
      <c r="Z33" s="5" t="s">
        <v>47</v>
      </c>
      <c r="AA33" s="6" t="s">
        <v>46</v>
      </c>
      <c r="AB33" s="7">
        <v>0.19888349999999999</v>
      </c>
      <c r="AD33" s="8"/>
      <c r="AF33" s="8"/>
      <c r="AG33" s="8"/>
    </row>
    <row r="34" spans="1:33" x14ac:dyDescent="0.2">
      <c r="A34" s="12">
        <v>2034</v>
      </c>
      <c r="B34" s="13" t="s">
        <v>45</v>
      </c>
      <c r="C34" s="13">
        <v>43262</v>
      </c>
      <c r="D34" s="5">
        <v>102</v>
      </c>
      <c r="E34" s="6" t="s">
        <v>53</v>
      </c>
      <c r="F34" s="5" t="s">
        <v>292</v>
      </c>
      <c r="G34" s="6" t="s">
        <v>291</v>
      </c>
      <c r="H34" s="5" t="str">
        <f>"000200"</f>
        <v>000200</v>
      </c>
      <c r="I34" s="4">
        <v>42601</v>
      </c>
      <c r="J34" s="5" t="str">
        <f>"000186"</f>
        <v>000186</v>
      </c>
      <c r="K34" s="4">
        <v>42632</v>
      </c>
      <c r="L34" s="5" t="str">
        <f>"000622"</f>
        <v>000622</v>
      </c>
      <c r="M34" s="4">
        <v>42633</v>
      </c>
      <c r="N34" s="5">
        <v>17</v>
      </c>
      <c r="O34" s="5" t="str">
        <f>"002303"</f>
        <v>002303</v>
      </c>
      <c r="P34" s="4">
        <v>43258</v>
      </c>
      <c r="Q34" s="7">
        <v>19.647929999999999</v>
      </c>
      <c r="R34" s="7">
        <v>2.7294100000000001</v>
      </c>
      <c r="S34" s="7">
        <v>16.918520000000001</v>
      </c>
      <c r="T34" s="5">
        <v>80</v>
      </c>
      <c r="U34" s="4">
        <v>43262</v>
      </c>
      <c r="V34" s="5">
        <v>9900333496</v>
      </c>
      <c r="W34" s="6" t="s">
        <v>66</v>
      </c>
      <c r="X34" s="5" t="s">
        <v>49</v>
      </c>
      <c r="Y34" s="6" t="s">
        <v>48</v>
      </c>
      <c r="Z34" s="5" t="s">
        <v>47</v>
      </c>
      <c r="AA34" s="6" t="s">
        <v>46</v>
      </c>
      <c r="AB34" s="7">
        <v>0.1964793</v>
      </c>
      <c r="AD34" s="8"/>
      <c r="AF34" s="8"/>
      <c r="AG34" s="8"/>
    </row>
    <row r="35" spans="1:33" x14ac:dyDescent="0.2">
      <c r="A35" s="12">
        <v>2035</v>
      </c>
      <c r="B35" s="13" t="s">
        <v>45</v>
      </c>
      <c r="C35" s="13">
        <v>43262</v>
      </c>
      <c r="D35" s="5">
        <v>102</v>
      </c>
      <c r="E35" s="6" t="s">
        <v>53</v>
      </c>
      <c r="F35" s="5" t="s">
        <v>290</v>
      </c>
      <c r="G35" s="6" t="s">
        <v>289</v>
      </c>
      <c r="H35" s="5" t="str">
        <f>"000056"</f>
        <v>000056</v>
      </c>
      <c r="I35" s="4">
        <v>42539</v>
      </c>
      <c r="J35" s="5" t="str">
        <f>"000195"</f>
        <v>000195</v>
      </c>
      <c r="K35" s="4">
        <v>42632</v>
      </c>
      <c r="L35" s="5" t="str">
        <f>"000628"</f>
        <v>000628</v>
      </c>
      <c r="M35" s="4">
        <v>42633</v>
      </c>
      <c r="N35" s="5">
        <v>16</v>
      </c>
      <c r="O35" s="5" t="str">
        <f>"002308"</f>
        <v>002308</v>
      </c>
      <c r="P35" s="4">
        <v>43258</v>
      </c>
      <c r="Q35" s="7">
        <v>9.8248999999999995</v>
      </c>
      <c r="R35" s="7">
        <v>1.23966</v>
      </c>
      <c r="S35" s="7">
        <v>8.5852400000000006</v>
      </c>
      <c r="T35" s="5">
        <v>80</v>
      </c>
      <c r="U35" s="4">
        <v>43262</v>
      </c>
      <c r="V35" s="5">
        <v>9900333496</v>
      </c>
      <c r="W35" s="6" t="s">
        <v>66</v>
      </c>
      <c r="X35" s="5" t="s">
        <v>49</v>
      </c>
      <c r="Y35" s="6" t="s">
        <v>48</v>
      </c>
      <c r="Z35" s="5" t="s">
        <v>47</v>
      </c>
      <c r="AA35" s="6" t="s">
        <v>46</v>
      </c>
      <c r="AB35" s="7">
        <v>9.8248999999999989E-2</v>
      </c>
      <c r="AD35" s="8"/>
      <c r="AF35" s="8"/>
      <c r="AG35" s="8"/>
    </row>
    <row r="36" spans="1:33" x14ac:dyDescent="0.2">
      <c r="A36" s="12">
        <v>2036</v>
      </c>
      <c r="B36" s="13" t="s">
        <v>45</v>
      </c>
      <c r="C36" s="13">
        <v>43262</v>
      </c>
      <c r="D36" s="5">
        <v>102</v>
      </c>
      <c r="E36" s="6" t="s">
        <v>53</v>
      </c>
      <c r="F36" s="5" t="s">
        <v>288</v>
      </c>
      <c r="G36" s="6" t="s">
        <v>287</v>
      </c>
      <c r="H36" s="5" t="str">
        <f>"000038"</f>
        <v>000038</v>
      </c>
      <c r="I36" s="4">
        <v>42537</v>
      </c>
      <c r="J36" s="5" t="str">
        <f>"000188"</f>
        <v>000188</v>
      </c>
      <c r="K36" s="4">
        <v>42632</v>
      </c>
      <c r="L36" s="5" t="str">
        <f>"000629"</f>
        <v>000629</v>
      </c>
      <c r="M36" s="4">
        <v>42633</v>
      </c>
      <c r="N36" s="5">
        <v>16</v>
      </c>
      <c r="O36" s="5" t="str">
        <f>"002309"</f>
        <v>002309</v>
      </c>
      <c r="P36" s="4">
        <v>43258</v>
      </c>
      <c r="Q36" s="7">
        <v>19.999379999999999</v>
      </c>
      <c r="R36" s="7">
        <v>2.7399300000000002</v>
      </c>
      <c r="S36" s="7">
        <v>17.259450000000001</v>
      </c>
      <c r="T36" s="5">
        <v>80</v>
      </c>
      <c r="U36" s="4">
        <v>43262</v>
      </c>
      <c r="V36" s="5">
        <v>9900333496</v>
      </c>
      <c r="W36" s="6" t="s">
        <v>43</v>
      </c>
      <c r="X36" s="5" t="s">
        <v>49</v>
      </c>
      <c r="Y36" s="6" t="s">
        <v>48</v>
      </c>
      <c r="Z36" s="5" t="s">
        <v>47</v>
      </c>
      <c r="AA36" s="6" t="s">
        <v>46</v>
      </c>
      <c r="AB36" s="7">
        <v>0.1999938</v>
      </c>
      <c r="AD36" s="8"/>
      <c r="AF36" s="8"/>
      <c r="AG36" s="8"/>
    </row>
    <row r="37" spans="1:33" x14ac:dyDescent="0.2">
      <c r="A37" s="12">
        <v>2037</v>
      </c>
      <c r="B37" s="13" t="s">
        <v>45</v>
      </c>
      <c r="C37" s="13">
        <v>43262</v>
      </c>
      <c r="D37" s="5">
        <v>102</v>
      </c>
      <c r="E37" s="6" t="s">
        <v>53</v>
      </c>
      <c r="F37" s="5" t="s">
        <v>286</v>
      </c>
      <c r="G37" s="6" t="s">
        <v>285</v>
      </c>
      <c r="H37" s="5" t="str">
        <f>"000036"</f>
        <v>000036</v>
      </c>
      <c r="I37" s="4">
        <v>42537</v>
      </c>
      <c r="J37" s="5" t="str">
        <f>"000189"</f>
        <v>000189</v>
      </c>
      <c r="K37" s="4">
        <v>42632</v>
      </c>
      <c r="L37" s="5" t="str">
        <f>"000630"</f>
        <v>000630</v>
      </c>
      <c r="M37" s="4">
        <v>42633</v>
      </c>
      <c r="N37" s="5">
        <v>16</v>
      </c>
      <c r="O37" s="5" t="str">
        <f>"002310"</f>
        <v>002310</v>
      </c>
      <c r="P37" s="4">
        <v>43258</v>
      </c>
      <c r="Q37" s="7">
        <v>19.991510000000002</v>
      </c>
      <c r="R37" s="7">
        <v>2.7274400000000001</v>
      </c>
      <c r="S37" s="7">
        <v>17.26407</v>
      </c>
      <c r="T37" s="5">
        <v>80</v>
      </c>
      <c r="U37" s="4">
        <v>43262</v>
      </c>
      <c r="V37" s="5">
        <v>9900333496</v>
      </c>
      <c r="W37" s="6" t="s">
        <v>43</v>
      </c>
      <c r="X37" s="5" t="s">
        <v>49</v>
      </c>
      <c r="Y37" s="6" t="s">
        <v>48</v>
      </c>
      <c r="Z37" s="5" t="s">
        <v>47</v>
      </c>
      <c r="AA37" s="6" t="s">
        <v>46</v>
      </c>
      <c r="AB37" s="7">
        <v>0.19991510000000001</v>
      </c>
      <c r="AD37" s="8"/>
      <c r="AF37" s="8"/>
      <c r="AG37" s="8"/>
    </row>
    <row r="38" spans="1:33" x14ac:dyDescent="0.2">
      <c r="A38" s="12">
        <v>2038</v>
      </c>
      <c r="B38" s="13" t="s">
        <v>45</v>
      </c>
      <c r="C38" s="13">
        <v>43262</v>
      </c>
      <c r="D38" s="5">
        <v>102</v>
      </c>
      <c r="E38" s="6" t="s">
        <v>53</v>
      </c>
      <c r="F38" s="5" t="s">
        <v>284</v>
      </c>
      <c r="G38" s="6" t="s">
        <v>283</v>
      </c>
      <c r="H38" s="5" t="str">
        <f>"000039"</f>
        <v>000039</v>
      </c>
      <c r="I38" s="4">
        <v>42537</v>
      </c>
      <c r="J38" s="5" t="str">
        <f>"000190"</f>
        <v>000190</v>
      </c>
      <c r="K38" s="4">
        <v>42632</v>
      </c>
      <c r="L38" s="5" t="str">
        <f>"000631"</f>
        <v>000631</v>
      </c>
      <c r="M38" s="4">
        <v>42633</v>
      </c>
      <c r="N38" s="5">
        <v>16</v>
      </c>
      <c r="O38" s="5" t="str">
        <f>"002311"</f>
        <v>002311</v>
      </c>
      <c r="P38" s="4">
        <v>43258</v>
      </c>
      <c r="Q38" s="7">
        <v>19.998280000000001</v>
      </c>
      <c r="R38" s="7">
        <v>2.7248000000000001</v>
      </c>
      <c r="S38" s="7">
        <v>17.273479999999999</v>
      </c>
      <c r="T38" s="5">
        <v>80</v>
      </c>
      <c r="U38" s="4">
        <v>43262</v>
      </c>
      <c r="V38" s="5">
        <v>9900333496</v>
      </c>
      <c r="W38" s="6" t="s">
        <v>50</v>
      </c>
      <c r="X38" s="5" t="s">
        <v>49</v>
      </c>
      <c r="Y38" s="6" t="s">
        <v>48</v>
      </c>
      <c r="Z38" s="5" t="s">
        <v>47</v>
      </c>
      <c r="AA38" s="6" t="s">
        <v>46</v>
      </c>
      <c r="AB38" s="7">
        <v>0.19998280000000002</v>
      </c>
      <c r="AD38" s="8"/>
      <c r="AF38" s="8"/>
      <c r="AG38" s="8"/>
    </row>
    <row r="39" spans="1:33" x14ac:dyDescent="0.2">
      <c r="A39" s="12">
        <v>2039</v>
      </c>
      <c r="B39" s="13" t="s">
        <v>45</v>
      </c>
      <c r="C39" s="13">
        <v>43262</v>
      </c>
      <c r="D39" s="5">
        <v>102</v>
      </c>
      <c r="E39" s="6" t="s">
        <v>53</v>
      </c>
      <c r="F39" s="5" t="s">
        <v>282</v>
      </c>
      <c r="G39" s="6" t="s">
        <v>281</v>
      </c>
      <c r="H39" s="5" t="str">
        <f>"000037"</f>
        <v>000037</v>
      </c>
      <c r="I39" s="4">
        <v>42537</v>
      </c>
      <c r="J39" s="5" t="str">
        <f>"000191"</f>
        <v>000191</v>
      </c>
      <c r="K39" s="4">
        <v>42632</v>
      </c>
      <c r="L39" s="5" t="str">
        <f>"000632"</f>
        <v>000632</v>
      </c>
      <c r="M39" s="4">
        <v>42633</v>
      </c>
      <c r="N39" s="5">
        <v>16</v>
      </c>
      <c r="O39" s="5" t="str">
        <f>"002312"</f>
        <v>002312</v>
      </c>
      <c r="P39" s="4">
        <v>43258</v>
      </c>
      <c r="Q39" s="7">
        <v>19.990279999999998</v>
      </c>
      <c r="R39" s="7">
        <v>2.72384</v>
      </c>
      <c r="S39" s="7">
        <v>17.266439999999999</v>
      </c>
      <c r="T39" s="5">
        <v>80</v>
      </c>
      <c r="U39" s="4">
        <v>43262</v>
      </c>
      <c r="V39" s="5">
        <v>9900333496</v>
      </c>
      <c r="W39" s="6" t="s">
        <v>50</v>
      </c>
      <c r="X39" s="5" t="s">
        <v>49</v>
      </c>
      <c r="Y39" s="6" t="s">
        <v>48</v>
      </c>
      <c r="Z39" s="5" t="s">
        <v>47</v>
      </c>
      <c r="AA39" s="6" t="s">
        <v>46</v>
      </c>
      <c r="AB39" s="7">
        <v>0.19990279999999999</v>
      </c>
      <c r="AD39" s="8"/>
      <c r="AF39" s="8"/>
      <c r="AG39" s="8"/>
    </row>
    <row r="40" spans="1:33" x14ac:dyDescent="0.2">
      <c r="A40" s="12">
        <v>2040</v>
      </c>
      <c r="B40" s="13" t="s">
        <v>45</v>
      </c>
      <c r="C40" s="13">
        <v>43262</v>
      </c>
      <c r="D40" s="5">
        <v>102</v>
      </c>
      <c r="E40" s="6" t="s">
        <v>53</v>
      </c>
      <c r="F40" s="5" t="s">
        <v>280</v>
      </c>
      <c r="G40" s="6" t="s">
        <v>279</v>
      </c>
      <c r="H40" s="5" t="str">
        <f>"000444"</f>
        <v>000444</v>
      </c>
      <c r="I40" s="4">
        <v>41283</v>
      </c>
      <c r="J40" s="5" t="str">
        <f>"000187"</f>
        <v>000187</v>
      </c>
      <c r="K40" s="4">
        <v>42632</v>
      </c>
      <c r="L40" s="5" t="str">
        <f>"000627"</f>
        <v>000627</v>
      </c>
      <c r="M40" s="4">
        <v>42633</v>
      </c>
      <c r="N40" s="5">
        <v>12</v>
      </c>
      <c r="O40" s="5" t="str">
        <f>"002313"</f>
        <v>002313</v>
      </c>
      <c r="P40" s="4">
        <v>43258</v>
      </c>
      <c r="Q40" s="7">
        <v>15.706759999999999</v>
      </c>
      <c r="R40" s="7">
        <v>1.9984500000000001</v>
      </c>
      <c r="S40" s="7">
        <v>13.708310000000001</v>
      </c>
      <c r="T40" s="5">
        <v>80</v>
      </c>
      <c r="U40" s="4">
        <v>43262</v>
      </c>
      <c r="V40" s="5">
        <v>9986666677</v>
      </c>
      <c r="W40" s="6" t="s">
        <v>278</v>
      </c>
      <c r="X40" s="5" t="s">
        <v>31</v>
      </c>
      <c r="Y40" s="6" t="s">
        <v>32</v>
      </c>
      <c r="Z40" s="5" t="s">
        <v>47</v>
      </c>
      <c r="AA40" s="6" t="s">
        <v>46</v>
      </c>
      <c r="AB40" s="7">
        <v>0.1570676</v>
      </c>
      <c r="AD40" s="8"/>
      <c r="AF40" s="8"/>
      <c r="AG40" s="8"/>
    </row>
    <row r="41" spans="1:33" x14ac:dyDescent="0.2">
      <c r="A41" s="12">
        <v>2041</v>
      </c>
      <c r="B41" s="13" t="s">
        <v>45</v>
      </c>
      <c r="C41" s="13">
        <v>43262</v>
      </c>
      <c r="D41" s="5">
        <v>102</v>
      </c>
      <c r="E41" s="6" t="s">
        <v>53</v>
      </c>
      <c r="F41" s="5" t="s">
        <v>277</v>
      </c>
      <c r="G41" s="6" t="s">
        <v>276</v>
      </c>
      <c r="H41" s="5" t="str">
        <f>"000053"</f>
        <v>000053</v>
      </c>
      <c r="I41" s="4">
        <v>41813</v>
      </c>
      <c r="J41" s="5" t="str">
        <f>"000194"</f>
        <v>000194</v>
      </c>
      <c r="K41" s="4">
        <v>42632</v>
      </c>
      <c r="L41" s="5" t="str">
        <f>"000633"</f>
        <v>000633</v>
      </c>
      <c r="M41" s="4">
        <v>42633</v>
      </c>
      <c r="N41" s="5">
        <v>12</v>
      </c>
      <c r="O41" s="5" t="str">
        <f>"002314"</f>
        <v>002314</v>
      </c>
      <c r="P41" s="4">
        <v>43258</v>
      </c>
      <c r="Q41" s="7">
        <v>15.996309999999999</v>
      </c>
      <c r="R41" s="7">
        <v>2.0946899999999999</v>
      </c>
      <c r="S41" s="7">
        <v>13.901619999999999</v>
      </c>
      <c r="T41" s="5">
        <v>80</v>
      </c>
      <c r="U41" s="4">
        <v>43262</v>
      </c>
      <c r="V41" s="5">
        <v>9986666677</v>
      </c>
      <c r="W41" s="6" t="s">
        <v>250</v>
      </c>
      <c r="X41" s="5" t="s">
        <v>249</v>
      </c>
      <c r="Y41" s="6" t="s">
        <v>248</v>
      </c>
      <c r="Z41" s="5" t="s">
        <v>47</v>
      </c>
      <c r="AA41" s="6" t="s">
        <v>46</v>
      </c>
      <c r="AB41" s="7">
        <v>0.1599631</v>
      </c>
      <c r="AD41" s="8"/>
      <c r="AF41" s="8"/>
      <c r="AG41" s="8"/>
    </row>
    <row r="42" spans="1:33" x14ac:dyDescent="0.2">
      <c r="A42" s="12">
        <v>2042</v>
      </c>
      <c r="B42" s="13" t="s">
        <v>45</v>
      </c>
      <c r="C42" s="13">
        <v>43262</v>
      </c>
      <c r="D42" s="5">
        <v>102</v>
      </c>
      <c r="E42" s="6" t="s">
        <v>53</v>
      </c>
      <c r="F42" s="5" t="s">
        <v>275</v>
      </c>
      <c r="G42" s="6" t="s">
        <v>274</v>
      </c>
      <c r="H42" s="5" t="str">
        <f>"000051"</f>
        <v>000051</v>
      </c>
      <c r="I42" s="4">
        <v>41813</v>
      </c>
      <c r="J42" s="5" t="str">
        <f>"000193"</f>
        <v>000193</v>
      </c>
      <c r="K42" s="4">
        <v>42632</v>
      </c>
      <c r="L42" s="5" t="str">
        <f>"000634"</f>
        <v>000634</v>
      </c>
      <c r="M42" s="4">
        <v>42633</v>
      </c>
      <c r="N42" s="5">
        <v>12</v>
      </c>
      <c r="O42" s="5" t="str">
        <f>"002315"</f>
        <v>002315</v>
      </c>
      <c r="P42" s="4">
        <v>43258</v>
      </c>
      <c r="Q42" s="7">
        <v>16.864570000000001</v>
      </c>
      <c r="R42" s="7">
        <v>2.2009599999999998</v>
      </c>
      <c r="S42" s="7">
        <v>14.66361</v>
      </c>
      <c r="T42" s="5">
        <v>80</v>
      </c>
      <c r="U42" s="4">
        <v>43262</v>
      </c>
      <c r="V42" s="5">
        <v>9986666677</v>
      </c>
      <c r="W42" s="6" t="s">
        <v>273</v>
      </c>
      <c r="X42" s="5" t="s">
        <v>249</v>
      </c>
      <c r="Y42" s="6" t="s">
        <v>248</v>
      </c>
      <c r="Z42" s="5" t="s">
        <v>47</v>
      </c>
      <c r="AA42" s="6" t="s">
        <v>46</v>
      </c>
      <c r="AB42" s="7">
        <v>0.16864570000000001</v>
      </c>
      <c r="AD42" s="8"/>
      <c r="AF42" s="8"/>
      <c r="AG42" s="8"/>
    </row>
    <row r="43" spans="1:33" x14ac:dyDescent="0.2">
      <c r="A43" s="12">
        <v>2092</v>
      </c>
      <c r="B43" s="13" t="s">
        <v>45</v>
      </c>
      <c r="C43" s="13">
        <v>43264</v>
      </c>
      <c r="D43" s="5">
        <v>102</v>
      </c>
      <c r="E43" s="6" t="s">
        <v>53</v>
      </c>
      <c r="F43" s="5" t="s">
        <v>121</v>
      </c>
      <c r="G43" s="6" t="s">
        <v>272</v>
      </c>
      <c r="H43" s="5" t="str">
        <f>"000309"</f>
        <v>000309</v>
      </c>
      <c r="I43" s="4">
        <v>43159</v>
      </c>
      <c r="J43" s="5" t="str">
        <f>"000021"</f>
        <v>000021</v>
      </c>
      <c r="K43" s="4">
        <v>43243</v>
      </c>
      <c r="L43" s="5" t="str">
        <f>"000055"</f>
        <v>000055</v>
      </c>
      <c r="M43" s="4">
        <v>43243</v>
      </c>
      <c r="N43" s="5">
        <v>17</v>
      </c>
      <c r="O43" s="5" t="str">
        <f>"002442"</f>
        <v>002442</v>
      </c>
      <c r="P43" s="4">
        <v>43263</v>
      </c>
      <c r="Q43" s="7">
        <v>279.14663999999999</v>
      </c>
      <c r="R43" s="7">
        <v>12.14288</v>
      </c>
      <c r="S43" s="7">
        <v>267.00376</v>
      </c>
      <c r="T43" s="5">
        <v>82</v>
      </c>
      <c r="U43" s="4">
        <v>43264</v>
      </c>
      <c r="V43" s="5">
        <v>0</v>
      </c>
      <c r="W43" s="6" t="s">
        <v>119</v>
      </c>
      <c r="X43" s="5" t="s">
        <v>28</v>
      </c>
      <c r="Y43" s="6" t="s">
        <v>29</v>
      </c>
      <c r="Z43" s="5" t="s">
        <v>47</v>
      </c>
      <c r="AA43" s="6" t="s">
        <v>46</v>
      </c>
      <c r="AB43" s="7">
        <v>2.7914664</v>
      </c>
      <c r="AD43" s="8"/>
      <c r="AF43" s="8"/>
      <c r="AG43" s="8"/>
    </row>
    <row r="44" spans="1:33" x14ac:dyDescent="0.2">
      <c r="A44" s="12">
        <v>2093</v>
      </c>
      <c r="B44" s="13" t="s">
        <v>45</v>
      </c>
      <c r="C44" s="13">
        <v>43264</v>
      </c>
      <c r="D44" s="5">
        <v>102</v>
      </c>
      <c r="E44" s="6" t="s">
        <v>53</v>
      </c>
      <c r="F44" s="5" t="s">
        <v>121</v>
      </c>
      <c r="G44" s="6" t="s">
        <v>272</v>
      </c>
      <c r="H44" s="5" t="str">
        <f>"000309"</f>
        <v>000309</v>
      </c>
      <c r="I44" s="4">
        <v>43159</v>
      </c>
      <c r="J44" s="5" t="str">
        <f>"000021"</f>
        <v>000021</v>
      </c>
      <c r="K44" s="4">
        <v>43243</v>
      </c>
      <c r="L44" s="5" t="str">
        <f>"000055"</f>
        <v>000055</v>
      </c>
      <c r="M44" s="4">
        <v>43243</v>
      </c>
      <c r="N44" s="5">
        <v>17</v>
      </c>
      <c r="O44" s="5" t="str">
        <f>"002442"</f>
        <v>002442</v>
      </c>
      <c r="P44" s="4">
        <v>43263</v>
      </c>
      <c r="Q44" s="7">
        <v>32.497929999999997</v>
      </c>
      <c r="R44" s="7">
        <v>1.24644</v>
      </c>
      <c r="S44" s="7">
        <v>31.25149</v>
      </c>
      <c r="T44" s="5">
        <v>82</v>
      </c>
      <c r="U44" s="4">
        <v>43264</v>
      </c>
      <c r="V44" s="5">
        <v>0</v>
      </c>
      <c r="W44" s="6" t="s">
        <v>119</v>
      </c>
      <c r="X44" s="5" t="s">
        <v>28</v>
      </c>
      <c r="Y44" s="6" t="s">
        <v>29</v>
      </c>
      <c r="Z44" s="5" t="s">
        <v>47</v>
      </c>
      <c r="AA44" s="6" t="s">
        <v>46</v>
      </c>
      <c r="AB44" s="7">
        <v>0.32497929999999997</v>
      </c>
      <c r="AD44" s="8"/>
      <c r="AF44" s="8"/>
      <c r="AG44" s="8"/>
    </row>
    <row r="45" spans="1:33" x14ac:dyDescent="0.2">
      <c r="A45" s="12">
        <v>2178</v>
      </c>
      <c r="B45" s="13" t="s">
        <v>45</v>
      </c>
      <c r="C45" s="13">
        <v>43266</v>
      </c>
      <c r="D45" s="5">
        <v>102</v>
      </c>
      <c r="E45" s="6" t="s">
        <v>53</v>
      </c>
      <c r="F45" s="5" t="s">
        <v>271</v>
      </c>
      <c r="G45" s="6" t="s">
        <v>270</v>
      </c>
      <c r="H45" s="5" t="str">
        <f>"000287"</f>
        <v>000287</v>
      </c>
      <c r="I45" s="4">
        <v>43158</v>
      </c>
      <c r="J45" s="5" t="str">
        <f>"000022"</f>
        <v>000022</v>
      </c>
      <c r="K45" s="4">
        <v>43218</v>
      </c>
      <c r="L45" s="5" t="str">
        <f>"000041"</f>
        <v>000041</v>
      </c>
      <c r="M45" s="4">
        <v>43218</v>
      </c>
      <c r="N45" s="5">
        <v>18</v>
      </c>
      <c r="O45" s="5" t="str">
        <f>"002602"</f>
        <v>002602</v>
      </c>
      <c r="P45" s="4">
        <v>43265</v>
      </c>
      <c r="Q45" s="7">
        <v>19.622039999999998</v>
      </c>
      <c r="R45" s="7">
        <v>1.8989100000000001</v>
      </c>
      <c r="S45" s="7">
        <v>17.723130000000001</v>
      </c>
      <c r="T45" s="5">
        <v>86</v>
      </c>
      <c r="U45" s="4">
        <v>43266</v>
      </c>
      <c r="V45" s="5">
        <v>9900333496</v>
      </c>
      <c r="W45" s="6" t="s">
        <v>66</v>
      </c>
      <c r="X45" s="5" t="s">
        <v>41</v>
      </c>
      <c r="Y45" s="6" t="s">
        <v>40</v>
      </c>
      <c r="Z45" s="5" t="s">
        <v>269</v>
      </c>
      <c r="AA45" s="6" t="s">
        <v>268</v>
      </c>
      <c r="AB45" s="7">
        <v>0.19622039999999999</v>
      </c>
      <c r="AD45" s="8"/>
      <c r="AF45" s="8"/>
      <c r="AG45" s="8"/>
    </row>
    <row r="46" spans="1:33" x14ac:dyDescent="0.2">
      <c r="A46" s="12">
        <v>2331</v>
      </c>
      <c r="B46" s="13" t="s">
        <v>45</v>
      </c>
      <c r="C46" s="13">
        <v>43269</v>
      </c>
      <c r="D46" s="5">
        <v>102</v>
      </c>
      <c r="E46" s="6" t="s">
        <v>53</v>
      </c>
      <c r="F46" s="5" t="s">
        <v>267</v>
      </c>
      <c r="G46" s="6" t="s">
        <v>266</v>
      </c>
      <c r="H46" s="5" t="str">
        <f>"000198"</f>
        <v>000198</v>
      </c>
      <c r="I46" s="4">
        <v>42601</v>
      </c>
      <c r="J46" s="5" t="str">
        <f>"000215"</f>
        <v>000215</v>
      </c>
      <c r="K46" s="4">
        <v>42632</v>
      </c>
      <c r="L46" s="5" t="str">
        <f>"000670"</f>
        <v>000670</v>
      </c>
      <c r="M46" s="4">
        <v>42633</v>
      </c>
      <c r="N46" s="5">
        <v>17</v>
      </c>
      <c r="O46" s="5" t="str">
        <f>"002368"</f>
        <v>002368</v>
      </c>
      <c r="P46" s="4">
        <v>43262</v>
      </c>
      <c r="Q46" s="7">
        <v>19.808520000000001</v>
      </c>
      <c r="R46" s="7">
        <v>2.7310099999999999</v>
      </c>
      <c r="S46" s="7">
        <v>17.07751</v>
      </c>
      <c r="T46" s="5">
        <v>90</v>
      </c>
      <c r="U46" s="4">
        <v>43269</v>
      </c>
      <c r="V46" s="5">
        <v>9900333496</v>
      </c>
      <c r="W46" s="6" t="s">
        <v>43</v>
      </c>
      <c r="X46" s="5" t="s">
        <v>49</v>
      </c>
      <c r="Y46" s="6" t="s">
        <v>48</v>
      </c>
      <c r="Z46" s="5" t="s">
        <v>47</v>
      </c>
      <c r="AA46" s="6" t="s">
        <v>46</v>
      </c>
      <c r="AB46" s="7">
        <v>0.19808520000000002</v>
      </c>
      <c r="AD46" s="8"/>
      <c r="AF46" s="8"/>
      <c r="AG46" s="8"/>
    </row>
    <row r="47" spans="1:33" x14ac:dyDescent="0.2">
      <c r="A47" s="12">
        <v>2332</v>
      </c>
      <c r="B47" s="13" t="s">
        <v>45</v>
      </c>
      <c r="C47" s="13">
        <v>43269</v>
      </c>
      <c r="D47" s="5">
        <v>102</v>
      </c>
      <c r="E47" s="6" t="s">
        <v>53</v>
      </c>
      <c r="F47" s="5" t="s">
        <v>265</v>
      </c>
      <c r="G47" s="6" t="s">
        <v>264</v>
      </c>
      <c r="H47" s="5" t="str">
        <f>"000197"</f>
        <v>000197</v>
      </c>
      <c r="I47" s="4">
        <v>42601</v>
      </c>
      <c r="J47" s="5" t="str">
        <f>"000213"</f>
        <v>000213</v>
      </c>
      <c r="K47" s="4">
        <v>42632</v>
      </c>
      <c r="L47" s="5" t="str">
        <f>"000671"</f>
        <v>000671</v>
      </c>
      <c r="M47" s="4">
        <v>42633</v>
      </c>
      <c r="N47" s="5">
        <v>17</v>
      </c>
      <c r="O47" s="5" t="str">
        <f>"002369"</f>
        <v>002369</v>
      </c>
      <c r="P47" s="4">
        <v>43262</v>
      </c>
      <c r="Q47" s="7">
        <v>19.817599999999999</v>
      </c>
      <c r="R47" s="7">
        <v>2.74</v>
      </c>
      <c r="S47" s="7">
        <v>17.0776</v>
      </c>
      <c r="T47" s="5">
        <v>90</v>
      </c>
      <c r="U47" s="4">
        <v>43269</v>
      </c>
      <c r="V47" s="5">
        <v>9900333496</v>
      </c>
      <c r="W47" s="6" t="s">
        <v>257</v>
      </c>
      <c r="X47" s="5" t="s">
        <v>49</v>
      </c>
      <c r="Y47" s="6" t="s">
        <v>48</v>
      </c>
      <c r="Z47" s="5" t="s">
        <v>47</v>
      </c>
      <c r="AA47" s="6" t="s">
        <v>46</v>
      </c>
      <c r="AB47" s="7">
        <v>0.19817599999999999</v>
      </c>
      <c r="AD47" s="8"/>
      <c r="AF47" s="8"/>
      <c r="AG47" s="8"/>
    </row>
    <row r="48" spans="1:33" x14ac:dyDescent="0.2">
      <c r="A48" s="12">
        <v>2333</v>
      </c>
      <c r="B48" s="13" t="s">
        <v>45</v>
      </c>
      <c r="C48" s="13">
        <v>43269</v>
      </c>
      <c r="D48" s="5">
        <v>102</v>
      </c>
      <c r="E48" s="6" t="s">
        <v>53</v>
      </c>
      <c r="F48" s="5" t="s">
        <v>263</v>
      </c>
      <c r="G48" s="6" t="s">
        <v>262</v>
      </c>
      <c r="H48" s="5" t="str">
        <f>"000194"</f>
        <v>000194</v>
      </c>
      <c r="I48" s="4">
        <v>42601</v>
      </c>
      <c r="J48" s="5" t="str">
        <f>"000672"</f>
        <v>000672</v>
      </c>
      <c r="K48" s="4">
        <v>42632</v>
      </c>
      <c r="L48" s="5" t="str">
        <f>"000672"</f>
        <v>000672</v>
      </c>
      <c r="M48" s="4">
        <v>42633</v>
      </c>
      <c r="N48" s="5">
        <v>17</v>
      </c>
      <c r="O48" s="5" t="str">
        <f>"002370"</f>
        <v>002370</v>
      </c>
      <c r="P48" s="4">
        <v>43262</v>
      </c>
      <c r="Q48" s="7">
        <v>19.792590000000001</v>
      </c>
      <c r="R48" s="7">
        <v>2.6952699999999998</v>
      </c>
      <c r="S48" s="7">
        <v>17.09732</v>
      </c>
      <c r="T48" s="5">
        <v>90</v>
      </c>
      <c r="U48" s="4">
        <v>43269</v>
      </c>
      <c r="V48" s="5">
        <v>9900333496</v>
      </c>
      <c r="W48" s="6" t="s">
        <v>44</v>
      </c>
      <c r="X48" s="5" t="s">
        <v>49</v>
      </c>
      <c r="Y48" s="6" t="s">
        <v>48</v>
      </c>
      <c r="Z48" s="5" t="s">
        <v>47</v>
      </c>
      <c r="AA48" s="6" t="s">
        <v>46</v>
      </c>
      <c r="AB48" s="7">
        <v>0.19792590000000002</v>
      </c>
      <c r="AD48" s="8"/>
      <c r="AF48" s="8"/>
      <c r="AG48" s="8"/>
    </row>
    <row r="49" spans="1:33" x14ac:dyDescent="0.2">
      <c r="A49" s="12">
        <v>2334</v>
      </c>
      <c r="B49" s="13" t="s">
        <v>45</v>
      </c>
      <c r="C49" s="13">
        <v>43269</v>
      </c>
      <c r="D49" s="5">
        <v>102</v>
      </c>
      <c r="E49" s="6" t="s">
        <v>53</v>
      </c>
      <c r="F49" s="5" t="s">
        <v>261</v>
      </c>
      <c r="G49" s="6" t="s">
        <v>260</v>
      </c>
      <c r="H49" s="5" t="str">
        <f>"000196"</f>
        <v>000196</v>
      </c>
      <c r="I49" s="4">
        <v>42601</v>
      </c>
      <c r="J49" s="5" t="str">
        <f>"000217"</f>
        <v>000217</v>
      </c>
      <c r="K49" s="4">
        <v>42632</v>
      </c>
      <c r="L49" s="5" t="str">
        <f>"000673"</f>
        <v>000673</v>
      </c>
      <c r="M49" s="4">
        <v>42633</v>
      </c>
      <c r="N49" s="5">
        <v>17</v>
      </c>
      <c r="O49" s="5" t="str">
        <f>"002371"</f>
        <v>002371</v>
      </c>
      <c r="P49" s="4">
        <v>43262</v>
      </c>
      <c r="Q49" s="7">
        <v>19.803999999999998</v>
      </c>
      <c r="R49" s="7">
        <v>2.7408399999999999</v>
      </c>
      <c r="S49" s="7">
        <v>17.06316</v>
      </c>
      <c r="T49" s="5">
        <v>90</v>
      </c>
      <c r="U49" s="4">
        <v>43269</v>
      </c>
      <c r="V49" s="5">
        <v>9900333496</v>
      </c>
      <c r="W49" s="6" t="s">
        <v>257</v>
      </c>
      <c r="X49" s="5" t="s">
        <v>49</v>
      </c>
      <c r="Y49" s="6" t="s">
        <v>48</v>
      </c>
      <c r="Z49" s="5" t="s">
        <v>47</v>
      </c>
      <c r="AA49" s="6" t="s">
        <v>46</v>
      </c>
      <c r="AB49" s="7">
        <v>0.19803999999999999</v>
      </c>
      <c r="AD49" s="8"/>
      <c r="AF49" s="8"/>
      <c r="AG49" s="8"/>
    </row>
    <row r="50" spans="1:33" x14ac:dyDescent="0.2">
      <c r="A50" s="12">
        <v>2335</v>
      </c>
      <c r="B50" s="13" t="s">
        <v>45</v>
      </c>
      <c r="C50" s="13">
        <v>43269</v>
      </c>
      <c r="D50" s="5">
        <v>102</v>
      </c>
      <c r="E50" s="6" t="s">
        <v>53</v>
      </c>
      <c r="F50" s="5" t="s">
        <v>259</v>
      </c>
      <c r="G50" s="6" t="s">
        <v>258</v>
      </c>
      <c r="H50" s="5" t="str">
        <f>"000286"</f>
        <v>000286</v>
      </c>
      <c r="I50" s="4">
        <v>42627</v>
      </c>
      <c r="J50" s="5" t="str">
        <f>"000218"</f>
        <v>000218</v>
      </c>
      <c r="K50" s="4">
        <v>42632</v>
      </c>
      <c r="L50" s="5" t="str">
        <f>"000674"</f>
        <v>000674</v>
      </c>
      <c r="M50" s="4">
        <v>42633</v>
      </c>
      <c r="N50" s="5">
        <v>17</v>
      </c>
      <c r="O50" s="5" t="str">
        <f>"002372"</f>
        <v>002372</v>
      </c>
      <c r="P50" s="4">
        <v>43262</v>
      </c>
      <c r="Q50" s="7">
        <v>19.799900000000001</v>
      </c>
      <c r="R50" s="7">
        <v>2.6954600000000002</v>
      </c>
      <c r="S50" s="7">
        <v>17.10444</v>
      </c>
      <c r="T50" s="5">
        <v>90</v>
      </c>
      <c r="U50" s="4">
        <v>43269</v>
      </c>
      <c r="V50" s="5">
        <v>9900333496</v>
      </c>
      <c r="W50" s="6" t="s">
        <v>257</v>
      </c>
      <c r="X50" s="5" t="s">
        <v>161</v>
      </c>
      <c r="Y50" s="6" t="s">
        <v>160</v>
      </c>
      <c r="Z50" s="5" t="s">
        <v>47</v>
      </c>
      <c r="AA50" s="6" t="s">
        <v>46</v>
      </c>
      <c r="AB50" s="7">
        <v>0.19799900000000001</v>
      </c>
      <c r="AD50" s="8"/>
      <c r="AF50" s="8"/>
      <c r="AG50" s="8"/>
    </row>
    <row r="51" spans="1:33" x14ac:dyDescent="0.2">
      <c r="A51" s="12">
        <v>2336</v>
      </c>
      <c r="B51" s="13" t="s">
        <v>45</v>
      </c>
      <c r="C51" s="13">
        <v>43269</v>
      </c>
      <c r="D51" s="5">
        <v>102</v>
      </c>
      <c r="E51" s="6" t="s">
        <v>53</v>
      </c>
      <c r="F51" s="5" t="s">
        <v>256</v>
      </c>
      <c r="G51" s="6" t="s">
        <v>255</v>
      </c>
      <c r="H51" s="5" t="str">
        <f>"000195"</f>
        <v>000195</v>
      </c>
      <c r="I51" s="4">
        <v>42601</v>
      </c>
      <c r="J51" s="5" t="str">
        <f>"000214"</f>
        <v>000214</v>
      </c>
      <c r="K51" s="4">
        <v>42632</v>
      </c>
      <c r="L51" s="5" t="str">
        <f>"000675"</f>
        <v>000675</v>
      </c>
      <c r="M51" s="4">
        <v>42633</v>
      </c>
      <c r="N51" s="5">
        <v>17</v>
      </c>
      <c r="O51" s="5" t="str">
        <f>"002373"</f>
        <v>002373</v>
      </c>
      <c r="P51" s="4">
        <v>43262</v>
      </c>
      <c r="Q51" s="7">
        <v>19.757719999999999</v>
      </c>
      <c r="R51" s="7">
        <v>2.7139000000000002</v>
      </c>
      <c r="S51" s="7">
        <v>17.04382</v>
      </c>
      <c r="T51" s="5">
        <v>90</v>
      </c>
      <c r="U51" s="4">
        <v>43269</v>
      </c>
      <c r="V51" s="5">
        <v>9900333496</v>
      </c>
      <c r="W51" s="6" t="s">
        <v>43</v>
      </c>
      <c r="X51" s="5" t="s">
        <v>49</v>
      </c>
      <c r="Y51" s="6" t="s">
        <v>48</v>
      </c>
      <c r="Z51" s="5" t="s">
        <v>47</v>
      </c>
      <c r="AA51" s="6" t="s">
        <v>46</v>
      </c>
      <c r="AB51" s="7">
        <v>0.19757719999999998</v>
      </c>
      <c r="AD51" s="8"/>
      <c r="AF51" s="8"/>
      <c r="AG51" s="8"/>
    </row>
    <row r="52" spans="1:33" x14ac:dyDescent="0.2">
      <c r="A52" s="12">
        <v>2568</v>
      </c>
      <c r="B52" s="13" t="s">
        <v>45</v>
      </c>
      <c r="C52" s="13">
        <v>43274</v>
      </c>
      <c r="D52" s="5">
        <v>102</v>
      </c>
      <c r="E52" s="6" t="s">
        <v>53</v>
      </c>
      <c r="F52" s="5" t="s">
        <v>254</v>
      </c>
      <c r="G52" s="6" t="s">
        <v>253</v>
      </c>
      <c r="H52" s="5" t="str">
        <f>"000090"</f>
        <v>000090</v>
      </c>
      <c r="I52" s="4">
        <v>42541</v>
      </c>
      <c r="J52" s="5" t="str">
        <f>"000122"</f>
        <v>000122</v>
      </c>
      <c r="K52" s="4">
        <v>42601</v>
      </c>
      <c r="L52" s="5" t="str">
        <f>"000519"</f>
        <v>000519</v>
      </c>
      <c r="M52" s="4">
        <v>42613</v>
      </c>
      <c r="N52" s="5">
        <v>16</v>
      </c>
      <c r="O52" s="5" t="str">
        <f>"002620"</f>
        <v>002620</v>
      </c>
      <c r="P52" s="4">
        <v>43269</v>
      </c>
      <c r="Q52" s="7">
        <v>19.815770000000001</v>
      </c>
      <c r="R52" s="7">
        <v>2.7465000000000002</v>
      </c>
      <c r="S52" s="7">
        <v>17.069269999999999</v>
      </c>
      <c r="T52" s="5">
        <v>99</v>
      </c>
      <c r="U52" s="4">
        <v>43274</v>
      </c>
      <c r="V52" s="5">
        <v>9900333496</v>
      </c>
      <c r="W52" s="6" t="s">
        <v>50</v>
      </c>
      <c r="X52" s="5" t="s">
        <v>123</v>
      </c>
      <c r="Y52" s="6" t="s">
        <v>122</v>
      </c>
      <c r="Z52" s="5" t="s">
        <v>47</v>
      </c>
      <c r="AA52" s="6" t="s">
        <v>46</v>
      </c>
      <c r="AB52" s="7">
        <v>0.19815769999999999</v>
      </c>
      <c r="AD52" s="8"/>
      <c r="AF52" s="8"/>
      <c r="AG52" s="8"/>
    </row>
    <row r="53" spans="1:33" x14ac:dyDescent="0.2">
      <c r="A53" s="12">
        <v>2569</v>
      </c>
      <c r="B53" s="13" t="s">
        <v>45</v>
      </c>
      <c r="C53" s="13">
        <v>43274</v>
      </c>
      <c r="D53" s="5">
        <v>102</v>
      </c>
      <c r="E53" s="6" t="s">
        <v>53</v>
      </c>
      <c r="F53" s="5" t="s">
        <v>254</v>
      </c>
      <c r="G53" s="6" t="s">
        <v>253</v>
      </c>
      <c r="H53" s="5" t="str">
        <f>"000090"</f>
        <v>000090</v>
      </c>
      <c r="I53" s="4">
        <v>42541</v>
      </c>
      <c r="J53" s="5" t="str">
        <f>"000122"</f>
        <v>000122</v>
      </c>
      <c r="K53" s="4">
        <v>42601</v>
      </c>
      <c r="L53" s="5" t="str">
        <f>"000519"</f>
        <v>000519</v>
      </c>
      <c r="M53" s="4">
        <v>42613</v>
      </c>
      <c r="N53" s="5">
        <v>16</v>
      </c>
      <c r="O53" s="5" t="str">
        <f>"002620"</f>
        <v>002620</v>
      </c>
      <c r="P53" s="4">
        <v>43269</v>
      </c>
      <c r="Q53" s="7">
        <v>19.815770000000001</v>
      </c>
      <c r="R53" s="7">
        <v>2.7465000000000002</v>
      </c>
      <c r="S53" s="7">
        <v>17.069269999999999</v>
      </c>
      <c r="T53" s="5">
        <v>99</v>
      </c>
      <c r="U53" s="4">
        <v>43274</v>
      </c>
      <c r="V53" s="5">
        <v>9900333496</v>
      </c>
      <c r="W53" s="6" t="s">
        <v>50</v>
      </c>
      <c r="X53" s="5" t="s">
        <v>123</v>
      </c>
      <c r="Y53" s="6" t="s">
        <v>122</v>
      </c>
      <c r="Z53" s="5" t="s">
        <v>47</v>
      </c>
      <c r="AA53" s="6" t="s">
        <v>46</v>
      </c>
      <c r="AB53" s="7">
        <v>0.19815769999999999</v>
      </c>
      <c r="AD53" s="8"/>
      <c r="AF53" s="8"/>
      <c r="AG53" s="8"/>
    </row>
    <row r="54" spans="1:33" x14ac:dyDescent="0.2">
      <c r="A54" s="12">
        <v>2570</v>
      </c>
      <c r="B54" s="13" t="s">
        <v>45</v>
      </c>
      <c r="C54" s="13">
        <v>43274</v>
      </c>
      <c r="D54" s="5">
        <v>102</v>
      </c>
      <c r="E54" s="6" t="s">
        <v>53</v>
      </c>
      <c r="F54" s="5" t="s">
        <v>252</v>
      </c>
      <c r="G54" s="6" t="s">
        <v>251</v>
      </c>
      <c r="H54" s="5" t="str">
        <f>"000052"</f>
        <v>000052</v>
      </c>
      <c r="I54" s="4">
        <v>41813</v>
      </c>
      <c r="J54" s="5" t="str">
        <f>"000192"</f>
        <v>000192</v>
      </c>
      <c r="K54" s="4">
        <v>42632</v>
      </c>
      <c r="L54" s="5" t="str">
        <f>"000635"</f>
        <v>000635</v>
      </c>
      <c r="M54" s="4">
        <v>42633</v>
      </c>
      <c r="N54" s="5">
        <v>12</v>
      </c>
      <c r="O54" s="5" t="str">
        <f>"002633"</f>
        <v>002633</v>
      </c>
      <c r="P54" s="4">
        <v>43269</v>
      </c>
      <c r="Q54" s="7">
        <v>16.843859999999999</v>
      </c>
      <c r="R54" s="7">
        <v>2.1986599999999998</v>
      </c>
      <c r="S54" s="7">
        <v>14.645200000000001</v>
      </c>
      <c r="T54" s="5">
        <v>99</v>
      </c>
      <c r="U54" s="4">
        <v>43274</v>
      </c>
      <c r="V54" s="5">
        <v>9986666677</v>
      </c>
      <c r="W54" s="6" t="s">
        <v>250</v>
      </c>
      <c r="X54" s="5" t="s">
        <v>249</v>
      </c>
      <c r="Y54" s="6" t="s">
        <v>248</v>
      </c>
      <c r="Z54" s="5" t="s">
        <v>47</v>
      </c>
      <c r="AA54" s="6" t="s">
        <v>46</v>
      </c>
      <c r="AB54" s="7">
        <v>0.16843859999999999</v>
      </c>
      <c r="AD54" s="8"/>
      <c r="AF54" s="8"/>
      <c r="AG54" s="8"/>
    </row>
    <row r="55" spans="1:33" x14ac:dyDescent="0.2">
      <c r="A55" s="12">
        <v>2571</v>
      </c>
      <c r="B55" s="13" t="s">
        <v>45</v>
      </c>
      <c r="C55" s="13">
        <v>43274</v>
      </c>
      <c r="D55" s="5">
        <v>102</v>
      </c>
      <c r="E55" s="6" t="s">
        <v>53</v>
      </c>
      <c r="F55" s="5" t="s">
        <v>247</v>
      </c>
      <c r="G55" s="6" t="s">
        <v>246</v>
      </c>
      <c r="H55" s="5" t="str">
        <f>"000113"</f>
        <v>000113</v>
      </c>
      <c r="I55" s="4">
        <v>41950</v>
      </c>
      <c r="J55" s="5" t="str">
        <f>"000198"</f>
        <v>000198</v>
      </c>
      <c r="K55" s="4">
        <v>42632</v>
      </c>
      <c r="L55" s="5" t="str">
        <f>"000641"</f>
        <v>000641</v>
      </c>
      <c r="M55" s="4">
        <v>42633</v>
      </c>
      <c r="N55" s="5">
        <v>12</v>
      </c>
      <c r="O55" s="5" t="str">
        <f>"002634"</f>
        <v>002634</v>
      </c>
      <c r="P55" s="4">
        <v>43269</v>
      </c>
      <c r="Q55" s="7">
        <v>16.659749999999999</v>
      </c>
      <c r="R55" s="7">
        <v>2.42923</v>
      </c>
      <c r="S55" s="7">
        <v>14.23052</v>
      </c>
      <c r="T55" s="5">
        <v>99</v>
      </c>
      <c r="U55" s="4">
        <v>43274</v>
      </c>
      <c r="V55" s="5">
        <v>0</v>
      </c>
      <c r="W55" s="6" t="s">
        <v>245</v>
      </c>
      <c r="X55" s="5" t="s">
        <v>31</v>
      </c>
      <c r="Y55" s="6" t="s">
        <v>32</v>
      </c>
      <c r="Z55" s="5" t="s">
        <v>47</v>
      </c>
      <c r="AA55" s="6" t="s">
        <v>46</v>
      </c>
      <c r="AB55" s="7">
        <v>0.16659749999999998</v>
      </c>
      <c r="AD55" s="8"/>
      <c r="AF55" s="8"/>
      <c r="AG55" s="8"/>
    </row>
    <row r="56" spans="1:33" x14ac:dyDescent="0.2">
      <c r="A56" s="12">
        <v>2871</v>
      </c>
      <c r="B56" s="13" t="s">
        <v>33</v>
      </c>
      <c r="C56" s="13">
        <v>43283</v>
      </c>
      <c r="D56" s="5">
        <v>102</v>
      </c>
      <c r="E56" s="6" t="s">
        <v>53</v>
      </c>
      <c r="F56" s="5" t="s">
        <v>244</v>
      </c>
      <c r="G56" s="6" t="s">
        <v>243</v>
      </c>
      <c r="H56" s="5" t="str">
        <f>"452563"</f>
        <v>452563</v>
      </c>
      <c r="I56" s="4">
        <v>42763</v>
      </c>
      <c r="J56" s="5" t="str">
        <f>"000022"</f>
        <v>000022</v>
      </c>
      <c r="K56" s="4">
        <v>43249</v>
      </c>
      <c r="L56" s="5" t="str">
        <f>"000060"</f>
        <v>000060</v>
      </c>
      <c r="M56" s="4">
        <v>43249</v>
      </c>
      <c r="N56" s="5">
        <v>16</v>
      </c>
      <c r="O56" s="5" t="str">
        <f>"003151"</f>
        <v>003151</v>
      </c>
      <c r="P56" s="4">
        <v>43280</v>
      </c>
      <c r="Q56" s="7">
        <v>48.807929999999999</v>
      </c>
      <c r="R56" s="7">
        <v>1.68834</v>
      </c>
      <c r="S56" s="7">
        <v>47.119590000000002</v>
      </c>
      <c r="T56" s="5">
        <v>105</v>
      </c>
      <c r="U56" s="4">
        <v>43283</v>
      </c>
      <c r="V56" s="5">
        <v>0</v>
      </c>
      <c r="W56" s="6" t="s">
        <v>242</v>
      </c>
      <c r="X56" s="5" t="s">
        <v>116</v>
      </c>
      <c r="Y56" s="6" t="s">
        <v>115</v>
      </c>
      <c r="Z56" s="5" t="s">
        <v>47</v>
      </c>
      <c r="AA56" s="6" t="s">
        <v>46</v>
      </c>
      <c r="AB56" s="7">
        <v>0.48807929999999999</v>
      </c>
      <c r="AD56" s="8"/>
      <c r="AF56" s="8"/>
      <c r="AG56" s="8"/>
    </row>
    <row r="57" spans="1:33" x14ac:dyDescent="0.2">
      <c r="A57" s="12">
        <v>3179</v>
      </c>
      <c r="B57" s="13" t="s">
        <v>33</v>
      </c>
      <c r="C57" s="13">
        <v>43290</v>
      </c>
      <c r="D57" s="5">
        <v>102</v>
      </c>
      <c r="E57" s="6" t="s">
        <v>53</v>
      </c>
      <c r="F57" s="5" t="s">
        <v>241</v>
      </c>
      <c r="G57" s="6" t="s">
        <v>240</v>
      </c>
      <c r="H57" s="5" t="str">
        <f>"000295"</f>
        <v>000295</v>
      </c>
      <c r="I57" s="4">
        <v>42627</v>
      </c>
      <c r="J57" s="5" t="str">
        <f>"000243"</f>
        <v>000243</v>
      </c>
      <c r="K57" s="4">
        <v>42702</v>
      </c>
      <c r="L57" s="5" t="str">
        <f>"000732"</f>
        <v>000732</v>
      </c>
      <c r="M57" s="4">
        <v>42704</v>
      </c>
      <c r="N57" s="5">
        <v>17</v>
      </c>
      <c r="O57" s="5" t="str">
        <f>"003361"</f>
        <v>003361</v>
      </c>
      <c r="P57" s="4">
        <v>43288</v>
      </c>
      <c r="Q57" s="7">
        <v>19.739809999999999</v>
      </c>
      <c r="R57" s="7">
        <v>2.6872199999999999</v>
      </c>
      <c r="S57" s="7">
        <v>17.052589999999999</v>
      </c>
      <c r="T57" s="5">
        <v>117</v>
      </c>
      <c r="U57" s="4">
        <v>43290</v>
      </c>
      <c r="V57" s="5">
        <v>9900333496</v>
      </c>
      <c r="W57" s="6" t="s">
        <v>50</v>
      </c>
      <c r="X57" s="5" t="s">
        <v>161</v>
      </c>
      <c r="Y57" s="6" t="s">
        <v>160</v>
      </c>
      <c r="Z57" s="5" t="s">
        <v>47</v>
      </c>
      <c r="AA57" s="6" t="s">
        <v>46</v>
      </c>
      <c r="AB57" s="7">
        <v>0.19739809999999999</v>
      </c>
      <c r="AD57" s="8"/>
      <c r="AF57" s="8"/>
      <c r="AG57" s="8"/>
    </row>
    <row r="58" spans="1:33" x14ac:dyDescent="0.2">
      <c r="A58" s="12">
        <v>3180</v>
      </c>
      <c r="B58" s="13" t="s">
        <v>33</v>
      </c>
      <c r="C58" s="13">
        <v>43290</v>
      </c>
      <c r="D58" s="5">
        <v>102</v>
      </c>
      <c r="E58" s="6" t="s">
        <v>53</v>
      </c>
      <c r="F58" s="5" t="s">
        <v>239</v>
      </c>
      <c r="G58" s="6" t="s">
        <v>238</v>
      </c>
      <c r="H58" s="5" t="str">
        <f>"000282"</f>
        <v>000282</v>
      </c>
      <c r="I58" s="4">
        <v>42627</v>
      </c>
      <c r="J58" s="5" t="str">
        <f>"000239"</f>
        <v>000239</v>
      </c>
      <c r="K58" s="4">
        <v>42695</v>
      </c>
      <c r="L58" s="5" t="str">
        <f>"000739"</f>
        <v>000739</v>
      </c>
      <c r="M58" s="4">
        <v>42704</v>
      </c>
      <c r="N58" s="5">
        <v>17</v>
      </c>
      <c r="O58" s="5" t="str">
        <f>"003362"</f>
        <v>003362</v>
      </c>
      <c r="P58" s="4">
        <v>43288</v>
      </c>
      <c r="Q58" s="7">
        <v>19.646129999999999</v>
      </c>
      <c r="R58" s="7">
        <v>2.6761900000000001</v>
      </c>
      <c r="S58" s="7">
        <v>16.969940000000001</v>
      </c>
      <c r="T58" s="5">
        <v>117</v>
      </c>
      <c r="U58" s="4">
        <v>43290</v>
      </c>
      <c r="V58" s="5">
        <v>9900333496</v>
      </c>
      <c r="W58" s="6" t="s">
        <v>66</v>
      </c>
      <c r="X58" s="5" t="s">
        <v>161</v>
      </c>
      <c r="Y58" s="6" t="s">
        <v>160</v>
      </c>
      <c r="Z58" s="5" t="s">
        <v>47</v>
      </c>
      <c r="AA58" s="6" t="s">
        <v>46</v>
      </c>
      <c r="AB58" s="7">
        <v>0.19646130000000001</v>
      </c>
      <c r="AD58" s="8"/>
      <c r="AF58" s="8"/>
      <c r="AG58" s="8"/>
    </row>
    <row r="59" spans="1:33" x14ac:dyDescent="0.2">
      <c r="A59" s="12">
        <v>3181</v>
      </c>
      <c r="B59" s="13" t="s">
        <v>33</v>
      </c>
      <c r="C59" s="13">
        <v>43290</v>
      </c>
      <c r="D59" s="5">
        <v>102</v>
      </c>
      <c r="E59" s="6" t="s">
        <v>53</v>
      </c>
      <c r="F59" s="5" t="s">
        <v>237</v>
      </c>
      <c r="G59" s="6" t="s">
        <v>236</v>
      </c>
      <c r="H59" s="5" t="str">
        <f>"000203"</f>
        <v>000203</v>
      </c>
      <c r="I59" s="4">
        <v>42601</v>
      </c>
      <c r="J59" s="5" t="str">
        <f>"000238"</f>
        <v>000238</v>
      </c>
      <c r="K59" s="4">
        <v>42695</v>
      </c>
      <c r="L59" s="5" t="str">
        <f>"000740"</f>
        <v>000740</v>
      </c>
      <c r="M59" s="4">
        <v>42704</v>
      </c>
      <c r="N59" s="5">
        <v>17</v>
      </c>
      <c r="O59" s="5" t="str">
        <f>"003363"</f>
        <v>003363</v>
      </c>
      <c r="P59" s="4">
        <v>43288</v>
      </c>
      <c r="Q59" s="7">
        <v>19.768070000000002</v>
      </c>
      <c r="R59" s="7">
        <v>2.6909299999999998</v>
      </c>
      <c r="S59" s="7">
        <v>17.07714</v>
      </c>
      <c r="T59" s="5">
        <v>117</v>
      </c>
      <c r="U59" s="4">
        <v>43290</v>
      </c>
      <c r="V59" s="5">
        <v>9900333496</v>
      </c>
      <c r="W59" s="6" t="s">
        <v>66</v>
      </c>
      <c r="X59" s="5" t="s">
        <v>49</v>
      </c>
      <c r="Y59" s="6" t="s">
        <v>48</v>
      </c>
      <c r="Z59" s="5" t="s">
        <v>47</v>
      </c>
      <c r="AA59" s="6" t="s">
        <v>46</v>
      </c>
      <c r="AB59" s="7">
        <v>0.19768070000000001</v>
      </c>
      <c r="AD59" s="8"/>
      <c r="AF59" s="8"/>
      <c r="AG59" s="8"/>
    </row>
    <row r="60" spans="1:33" x14ac:dyDescent="0.2">
      <c r="A60" s="12">
        <v>3182</v>
      </c>
      <c r="B60" s="13" t="s">
        <v>33</v>
      </c>
      <c r="C60" s="13">
        <v>43290</v>
      </c>
      <c r="D60" s="5">
        <v>102</v>
      </c>
      <c r="E60" s="6" t="s">
        <v>53</v>
      </c>
      <c r="F60" s="5" t="s">
        <v>235</v>
      </c>
      <c r="G60" s="6" t="s">
        <v>234</v>
      </c>
      <c r="H60" s="5" t="str">
        <f>"000138"</f>
        <v>000138</v>
      </c>
      <c r="I60" s="4">
        <v>42550</v>
      </c>
      <c r="J60" s="5" t="str">
        <f>"000234"</f>
        <v>000234</v>
      </c>
      <c r="K60" s="4">
        <v>42695</v>
      </c>
      <c r="L60" s="5" t="str">
        <f>"000741"</f>
        <v>000741</v>
      </c>
      <c r="M60" s="4">
        <v>42704</v>
      </c>
      <c r="N60" s="5">
        <v>16</v>
      </c>
      <c r="O60" s="5" t="str">
        <f>"003364"</f>
        <v>003364</v>
      </c>
      <c r="P60" s="4">
        <v>43288</v>
      </c>
      <c r="Q60" s="7">
        <v>9.8518600000000003</v>
      </c>
      <c r="R60" s="7">
        <v>1.31091</v>
      </c>
      <c r="S60" s="7">
        <v>8.5409500000000005</v>
      </c>
      <c r="T60" s="5">
        <v>117</v>
      </c>
      <c r="U60" s="4">
        <v>43290</v>
      </c>
      <c r="V60" s="5">
        <v>9900333496</v>
      </c>
      <c r="W60" s="6" t="s">
        <v>66</v>
      </c>
      <c r="X60" s="5" t="s">
        <v>49</v>
      </c>
      <c r="Y60" s="6" t="s">
        <v>48</v>
      </c>
      <c r="Z60" s="5" t="s">
        <v>47</v>
      </c>
      <c r="AA60" s="6" t="s">
        <v>46</v>
      </c>
      <c r="AB60" s="7">
        <v>9.8518599999999998E-2</v>
      </c>
      <c r="AD60" s="8"/>
      <c r="AF60" s="8"/>
      <c r="AG60" s="8"/>
    </row>
    <row r="61" spans="1:33" x14ac:dyDescent="0.2">
      <c r="A61" s="12">
        <v>3183</v>
      </c>
      <c r="B61" s="13" t="s">
        <v>33</v>
      </c>
      <c r="C61" s="13">
        <v>43290</v>
      </c>
      <c r="D61" s="5">
        <v>102</v>
      </c>
      <c r="E61" s="6" t="s">
        <v>53</v>
      </c>
      <c r="F61" s="5" t="s">
        <v>233</v>
      </c>
      <c r="G61" s="6" t="s">
        <v>232</v>
      </c>
      <c r="H61" s="5" t="str">
        <f>"000046"</f>
        <v>000046</v>
      </c>
      <c r="I61" s="4">
        <v>42539</v>
      </c>
      <c r="J61" s="5" t="str">
        <f>"000237"</f>
        <v>000237</v>
      </c>
      <c r="K61" s="4">
        <v>42695</v>
      </c>
      <c r="L61" s="5" t="str">
        <f>"000742"</f>
        <v>000742</v>
      </c>
      <c r="M61" s="4">
        <v>42704</v>
      </c>
      <c r="N61" s="5">
        <v>16</v>
      </c>
      <c r="O61" s="5" t="str">
        <f>"003365"</f>
        <v>003365</v>
      </c>
      <c r="P61" s="4">
        <v>43288</v>
      </c>
      <c r="Q61" s="7">
        <v>19.771650000000001</v>
      </c>
      <c r="R61" s="7">
        <v>2.71204</v>
      </c>
      <c r="S61" s="7">
        <v>17.059609999999999</v>
      </c>
      <c r="T61" s="5">
        <v>117</v>
      </c>
      <c r="U61" s="4">
        <v>43290</v>
      </c>
      <c r="V61" s="5">
        <v>9900333496</v>
      </c>
      <c r="W61" s="6" t="s">
        <v>66</v>
      </c>
      <c r="X61" s="5" t="s">
        <v>49</v>
      </c>
      <c r="Y61" s="6" t="s">
        <v>48</v>
      </c>
      <c r="Z61" s="5" t="s">
        <v>47</v>
      </c>
      <c r="AA61" s="6" t="s">
        <v>46</v>
      </c>
      <c r="AB61" s="7">
        <v>0.19771650000000002</v>
      </c>
      <c r="AD61" s="8"/>
      <c r="AF61" s="8"/>
      <c r="AG61" s="8"/>
    </row>
    <row r="62" spans="1:33" x14ac:dyDescent="0.2">
      <c r="A62" s="12">
        <v>3184</v>
      </c>
      <c r="B62" s="13" t="s">
        <v>33</v>
      </c>
      <c r="C62" s="13">
        <v>43290</v>
      </c>
      <c r="D62" s="5">
        <v>102</v>
      </c>
      <c r="E62" s="6" t="s">
        <v>53</v>
      </c>
      <c r="F62" s="5" t="s">
        <v>231</v>
      </c>
      <c r="G62" s="6" t="s">
        <v>230</v>
      </c>
      <c r="H62" s="5" t="str">
        <f>"000297"</f>
        <v>000297</v>
      </c>
      <c r="I62" s="4">
        <v>42627</v>
      </c>
      <c r="J62" s="5" t="str">
        <f>"000236"</f>
        <v>000236</v>
      </c>
      <c r="K62" s="4">
        <v>42695</v>
      </c>
      <c r="L62" s="5" t="str">
        <f>"000743"</f>
        <v>000743</v>
      </c>
      <c r="M62" s="4">
        <v>42704</v>
      </c>
      <c r="N62" s="5">
        <v>17</v>
      </c>
      <c r="O62" s="5" t="str">
        <f>"003366"</f>
        <v>003366</v>
      </c>
      <c r="P62" s="4">
        <v>43288</v>
      </c>
      <c r="Q62" s="7">
        <v>19.792999999999999</v>
      </c>
      <c r="R62" s="7">
        <v>2.6744500000000002</v>
      </c>
      <c r="S62" s="7">
        <v>17.118549999999999</v>
      </c>
      <c r="T62" s="5">
        <v>117</v>
      </c>
      <c r="U62" s="4">
        <v>43290</v>
      </c>
      <c r="V62" s="5">
        <v>9900333496</v>
      </c>
      <c r="W62" s="6" t="s">
        <v>66</v>
      </c>
      <c r="X62" s="5" t="s">
        <v>161</v>
      </c>
      <c r="Y62" s="6" t="s">
        <v>160</v>
      </c>
      <c r="Z62" s="5" t="s">
        <v>47</v>
      </c>
      <c r="AA62" s="6" t="s">
        <v>46</v>
      </c>
      <c r="AB62" s="7">
        <v>0.19792999999999999</v>
      </c>
      <c r="AD62" s="8"/>
      <c r="AF62" s="8"/>
      <c r="AG62" s="8"/>
    </row>
    <row r="63" spans="1:33" x14ac:dyDescent="0.2">
      <c r="A63" s="12">
        <v>3185</v>
      </c>
      <c r="B63" s="13" t="s">
        <v>33</v>
      </c>
      <c r="C63" s="13">
        <v>43290</v>
      </c>
      <c r="D63" s="5">
        <v>102</v>
      </c>
      <c r="E63" s="6" t="s">
        <v>53</v>
      </c>
      <c r="F63" s="5" t="s">
        <v>229</v>
      </c>
      <c r="G63" s="6" t="s">
        <v>228</v>
      </c>
      <c r="H63" s="5" t="str">
        <f>"000283"</f>
        <v>000283</v>
      </c>
      <c r="I63" s="4">
        <v>42627</v>
      </c>
      <c r="J63" s="5" t="str">
        <f>"000235"</f>
        <v>000235</v>
      </c>
      <c r="K63" s="4">
        <v>42695</v>
      </c>
      <c r="L63" s="5" t="str">
        <f>"000744"</f>
        <v>000744</v>
      </c>
      <c r="M63" s="4">
        <v>42704</v>
      </c>
      <c r="N63" s="5">
        <v>17</v>
      </c>
      <c r="O63" s="5" t="str">
        <f>"003367"</f>
        <v>003367</v>
      </c>
      <c r="P63" s="4">
        <v>43288</v>
      </c>
      <c r="Q63" s="7">
        <v>19.691330000000001</v>
      </c>
      <c r="R63" s="7">
        <v>2.6816499999999999</v>
      </c>
      <c r="S63" s="7">
        <v>17.009679999999999</v>
      </c>
      <c r="T63" s="5">
        <v>117</v>
      </c>
      <c r="U63" s="4">
        <v>43290</v>
      </c>
      <c r="V63" s="5">
        <v>9900333496</v>
      </c>
      <c r="W63" s="6" t="s">
        <v>66</v>
      </c>
      <c r="X63" s="5" t="s">
        <v>161</v>
      </c>
      <c r="Y63" s="6" t="s">
        <v>160</v>
      </c>
      <c r="Z63" s="5" t="s">
        <v>47</v>
      </c>
      <c r="AA63" s="6" t="s">
        <v>46</v>
      </c>
      <c r="AB63" s="7">
        <v>0.19691330000000001</v>
      </c>
      <c r="AD63" s="8"/>
      <c r="AF63" s="8"/>
      <c r="AG63" s="8"/>
    </row>
    <row r="64" spans="1:33" x14ac:dyDescent="0.2">
      <c r="A64" s="12">
        <v>3186</v>
      </c>
      <c r="B64" s="13" t="s">
        <v>33</v>
      </c>
      <c r="C64" s="13">
        <v>43290</v>
      </c>
      <c r="D64" s="5">
        <v>102</v>
      </c>
      <c r="E64" s="6" t="s">
        <v>53</v>
      </c>
      <c r="F64" s="5" t="s">
        <v>227</v>
      </c>
      <c r="G64" s="6" t="s">
        <v>226</v>
      </c>
      <c r="H64" s="5" t="str">
        <f>"000054"</f>
        <v>000054</v>
      </c>
      <c r="I64" s="4">
        <v>42539</v>
      </c>
      <c r="J64" s="5" t="str">
        <f>"000233"</f>
        <v>000233</v>
      </c>
      <c r="K64" s="4">
        <v>42695</v>
      </c>
      <c r="L64" s="5" t="str">
        <f>"000745"</f>
        <v>000745</v>
      </c>
      <c r="M64" s="4">
        <v>42704</v>
      </c>
      <c r="N64" s="5">
        <v>16</v>
      </c>
      <c r="O64" s="5" t="str">
        <f>"003368"</f>
        <v>003368</v>
      </c>
      <c r="P64" s="4">
        <v>43288</v>
      </c>
      <c r="Q64" s="7">
        <v>19.699529999999999</v>
      </c>
      <c r="R64" s="7">
        <v>2.7120600000000001</v>
      </c>
      <c r="S64" s="7">
        <v>16.987469999999998</v>
      </c>
      <c r="T64" s="5">
        <v>117</v>
      </c>
      <c r="U64" s="4">
        <v>43290</v>
      </c>
      <c r="V64" s="5">
        <v>9900333496</v>
      </c>
      <c r="W64" s="6" t="s">
        <v>205</v>
      </c>
      <c r="X64" s="5" t="s">
        <v>49</v>
      </c>
      <c r="Y64" s="6" t="s">
        <v>48</v>
      </c>
      <c r="Z64" s="5" t="s">
        <v>47</v>
      </c>
      <c r="AA64" s="6" t="s">
        <v>46</v>
      </c>
      <c r="AB64" s="7">
        <v>0.19699529999999998</v>
      </c>
      <c r="AD64" s="8"/>
      <c r="AF64" s="8"/>
      <c r="AG64" s="8"/>
    </row>
    <row r="65" spans="1:33" x14ac:dyDescent="0.2">
      <c r="A65" s="12">
        <v>3187</v>
      </c>
      <c r="B65" s="13" t="s">
        <v>33</v>
      </c>
      <c r="C65" s="13">
        <v>43290</v>
      </c>
      <c r="D65" s="5">
        <v>102</v>
      </c>
      <c r="E65" s="6" t="s">
        <v>53</v>
      </c>
      <c r="F65" s="5" t="s">
        <v>225</v>
      </c>
      <c r="G65" s="6" t="s">
        <v>224</v>
      </c>
      <c r="H65" s="5" t="str">
        <f>"000292"</f>
        <v>000292</v>
      </c>
      <c r="I65" s="4">
        <v>42627</v>
      </c>
      <c r="J65" s="5" t="str">
        <f>"000246"</f>
        <v>000246</v>
      </c>
      <c r="K65" s="4">
        <v>42702</v>
      </c>
      <c r="L65" s="5" t="str">
        <f>"000748"</f>
        <v>000748</v>
      </c>
      <c r="M65" s="4">
        <v>42704</v>
      </c>
      <c r="N65" s="5">
        <v>17</v>
      </c>
      <c r="O65" s="5" t="str">
        <f>"003369"</f>
        <v>003369</v>
      </c>
      <c r="P65" s="4">
        <v>43288</v>
      </c>
      <c r="Q65" s="7">
        <v>14.85713</v>
      </c>
      <c r="R65" s="7">
        <v>2.0227200000000001</v>
      </c>
      <c r="S65" s="7">
        <v>12.83441</v>
      </c>
      <c r="T65" s="5">
        <v>117</v>
      </c>
      <c r="U65" s="4">
        <v>43290</v>
      </c>
      <c r="V65" s="5">
        <v>9900333496</v>
      </c>
      <c r="W65" s="6" t="s">
        <v>66</v>
      </c>
      <c r="X65" s="5" t="s">
        <v>161</v>
      </c>
      <c r="Y65" s="6" t="s">
        <v>160</v>
      </c>
      <c r="Z65" s="5" t="s">
        <v>47</v>
      </c>
      <c r="AA65" s="6" t="s">
        <v>46</v>
      </c>
      <c r="AB65" s="7">
        <v>0.14857129999999999</v>
      </c>
      <c r="AD65" s="8"/>
      <c r="AF65" s="8"/>
      <c r="AG65" s="8"/>
    </row>
    <row r="66" spans="1:33" x14ac:dyDescent="0.2">
      <c r="A66" s="12">
        <v>3188</v>
      </c>
      <c r="B66" s="13" t="s">
        <v>33</v>
      </c>
      <c r="C66" s="13">
        <v>43290</v>
      </c>
      <c r="D66" s="5">
        <v>102</v>
      </c>
      <c r="E66" s="6" t="s">
        <v>53</v>
      </c>
      <c r="F66" s="5" t="s">
        <v>223</v>
      </c>
      <c r="G66" s="6" t="s">
        <v>222</v>
      </c>
      <c r="H66" s="5" t="str">
        <f>"000281"</f>
        <v>000281</v>
      </c>
      <c r="I66" s="4">
        <v>42627</v>
      </c>
      <c r="J66" s="5" t="str">
        <f>"000248"</f>
        <v>000248</v>
      </c>
      <c r="K66" s="4">
        <v>42703</v>
      </c>
      <c r="L66" s="5" t="str">
        <f>"000749"</f>
        <v>000749</v>
      </c>
      <c r="M66" s="4">
        <v>42704</v>
      </c>
      <c r="N66" s="5">
        <v>17</v>
      </c>
      <c r="O66" s="5" t="str">
        <f>"003370"</f>
        <v>003370</v>
      </c>
      <c r="P66" s="4">
        <v>43288</v>
      </c>
      <c r="Q66" s="7">
        <v>19.797820000000002</v>
      </c>
      <c r="R66" s="7">
        <v>2.8268800000000001</v>
      </c>
      <c r="S66" s="7">
        <v>16.970939999999999</v>
      </c>
      <c r="T66" s="5">
        <v>117</v>
      </c>
      <c r="U66" s="4">
        <v>43290</v>
      </c>
      <c r="V66" s="5">
        <v>9900333496</v>
      </c>
      <c r="W66" s="6" t="s">
        <v>66</v>
      </c>
      <c r="X66" s="5" t="s">
        <v>161</v>
      </c>
      <c r="Y66" s="6" t="s">
        <v>160</v>
      </c>
      <c r="Z66" s="5" t="s">
        <v>47</v>
      </c>
      <c r="AA66" s="6" t="s">
        <v>46</v>
      </c>
      <c r="AB66" s="7">
        <v>0.19797820000000002</v>
      </c>
      <c r="AD66" s="8"/>
      <c r="AF66" s="8"/>
      <c r="AG66" s="8"/>
    </row>
    <row r="67" spans="1:33" x14ac:dyDescent="0.2">
      <c r="A67" s="12">
        <v>3189</v>
      </c>
      <c r="B67" s="13" t="s">
        <v>33</v>
      </c>
      <c r="C67" s="13">
        <v>43290</v>
      </c>
      <c r="D67" s="5">
        <v>102</v>
      </c>
      <c r="E67" s="6" t="s">
        <v>53</v>
      </c>
      <c r="F67" s="5" t="s">
        <v>221</v>
      </c>
      <c r="G67" s="6" t="s">
        <v>220</v>
      </c>
      <c r="H67" s="5" t="str">
        <f>"000296"</f>
        <v>000296</v>
      </c>
      <c r="I67" s="4">
        <v>42627</v>
      </c>
      <c r="J67" s="5" t="str">
        <f>"000247"</f>
        <v>000247</v>
      </c>
      <c r="K67" s="4">
        <v>42703</v>
      </c>
      <c r="L67" s="5" t="str">
        <f>"000750"</f>
        <v>000750</v>
      </c>
      <c r="M67" s="4">
        <v>42704</v>
      </c>
      <c r="N67" s="5">
        <v>17</v>
      </c>
      <c r="O67" s="5" t="str">
        <f>"003371"</f>
        <v>003371</v>
      </c>
      <c r="P67" s="4">
        <v>43288</v>
      </c>
      <c r="Q67" s="7">
        <v>19.89124</v>
      </c>
      <c r="R67" s="7">
        <v>2.6958099999999998</v>
      </c>
      <c r="S67" s="7">
        <v>17.195430000000002</v>
      </c>
      <c r="T67" s="5">
        <v>117</v>
      </c>
      <c r="U67" s="4">
        <v>43290</v>
      </c>
      <c r="V67" s="5">
        <v>9900333496</v>
      </c>
      <c r="W67" s="6" t="s">
        <v>66</v>
      </c>
      <c r="X67" s="5" t="s">
        <v>161</v>
      </c>
      <c r="Y67" s="6" t="s">
        <v>160</v>
      </c>
      <c r="Z67" s="5" t="s">
        <v>47</v>
      </c>
      <c r="AA67" s="6" t="s">
        <v>46</v>
      </c>
      <c r="AB67" s="7">
        <v>0.19891239999999999</v>
      </c>
      <c r="AD67" s="8"/>
      <c r="AF67" s="8"/>
      <c r="AG67" s="8"/>
    </row>
    <row r="68" spans="1:33" x14ac:dyDescent="0.2">
      <c r="A68" s="12">
        <v>3190</v>
      </c>
      <c r="B68" s="13" t="s">
        <v>33</v>
      </c>
      <c r="C68" s="13">
        <v>43290</v>
      </c>
      <c r="D68" s="5">
        <v>102</v>
      </c>
      <c r="E68" s="6" t="s">
        <v>53</v>
      </c>
      <c r="F68" s="5" t="s">
        <v>219</v>
      </c>
      <c r="G68" s="6" t="s">
        <v>218</v>
      </c>
      <c r="H68" s="5" t="str">
        <f>"000287"</f>
        <v>000287</v>
      </c>
      <c r="I68" s="4">
        <v>42627</v>
      </c>
      <c r="J68" s="5" t="str">
        <f>"000249"</f>
        <v>000249</v>
      </c>
      <c r="K68" s="4">
        <v>42703</v>
      </c>
      <c r="L68" s="5" t="str">
        <f>"000751"</f>
        <v>000751</v>
      </c>
      <c r="M68" s="4">
        <v>42704</v>
      </c>
      <c r="N68" s="5">
        <v>17</v>
      </c>
      <c r="O68" s="5" t="str">
        <f>"003372"</f>
        <v>003372</v>
      </c>
      <c r="P68" s="4">
        <v>43288</v>
      </c>
      <c r="Q68" s="7">
        <v>19.99492</v>
      </c>
      <c r="R68" s="7">
        <v>2.71692</v>
      </c>
      <c r="S68" s="7">
        <v>17.277999999999999</v>
      </c>
      <c r="T68" s="5">
        <v>117</v>
      </c>
      <c r="U68" s="4">
        <v>43290</v>
      </c>
      <c r="V68" s="5">
        <v>9900333496</v>
      </c>
      <c r="W68" s="6" t="s">
        <v>66</v>
      </c>
      <c r="X68" s="5" t="s">
        <v>161</v>
      </c>
      <c r="Y68" s="6" t="s">
        <v>160</v>
      </c>
      <c r="Z68" s="5" t="s">
        <v>47</v>
      </c>
      <c r="AA68" s="6" t="s">
        <v>46</v>
      </c>
      <c r="AB68" s="7">
        <v>0.19994919999999999</v>
      </c>
      <c r="AD68" s="8"/>
      <c r="AF68" s="8"/>
      <c r="AG68" s="8"/>
    </row>
    <row r="69" spans="1:33" x14ac:dyDescent="0.2">
      <c r="A69" s="12">
        <v>3316</v>
      </c>
      <c r="B69" s="13" t="s">
        <v>33</v>
      </c>
      <c r="C69" s="13">
        <v>43297</v>
      </c>
      <c r="D69" s="5">
        <v>102</v>
      </c>
      <c r="E69" s="6" t="s">
        <v>53</v>
      </c>
      <c r="F69" s="5" t="s">
        <v>217</v>
      </c>
      <c r="G69" s="6" t="s">
        <v>216</v>
      </c>
      <c r="H69" s="5" t="str">
        <f>"000299"</f>
        <v>000299</v>
      </c>
      <c r="I69" s="4">
        <v>42627</v>
      </c>
      <c r="J69" s="5" t="str">
        <f>"000242"</f>
        <v>000242</v>
      </c>
      <c r="K69" s="4">
        <v>42702</v>
      </c>
      <c r="L69" s="5" t="str">
        <f>"000731"</f>
        <v>000731</v>
      </c>
      <c r="M69" s="4">
        <v>42704</v>
      </c>
      <c r="N69" s="5">
        <v>17</v>
      </c>
      <c r="O69" s="5" t="str">
        <f>"003527"</f>
        <v>003527</v>
      </c>
      <c r="P69" s="4">
        <v>43291</v>
      </c>
      <c r="Q69" s="7">
        <v>19.701789999999999</v>
      </c>
      <c r="R69" s="7">
        <v>2.6829200000000002</v>
      </c>
      <c r="S69" s="7">
        <v>17.01887</v>
      </c>
      <c r="T69" s="5">
        <v>125</v>
      </c>
      <c r="U69" s="4">
        <v>43297</v>
      </c>
      <c r="V69" s="5">
        <v>9900333496</v>
      </c>
      <c r="W69" s="6" t="s">
        <v>50</v>
      </c>
      <c r="X69" s="5" t="s">
        <v>161</v>
      </c>
      <c r="Y69" s="6" t="s">
        <v>160</v>
      </c>
      <c r="Z69" s="5" t="s">
        <v>47</v>
      </c>
      <c r="AA69" s="6" t="s">
        <v>46</v>
      </c>
      <c r="AB69" s="7">
        <v>0.1970179</v>
      </c>
      <c r="AD69" s="8"/>
      <c r="AF69" s="8"/>
      <c r="AG69" s="8"/>
    </row>
    <row r="70" spans="1:33" x14ac:dyDescent="0.2">
      <c r="A70" s="12">
        <v>3926</v>
      </c>
      <c r="B70" s="13" t="s">
        <v>33</v>
      </c>
      <c r="C70" s="13">
        <v>43305</v>
      </c>
      <c r="D70" s="5">
        <v>102</v>
      </c>
      <c r="E70" s="6" t="s">
        <v>53</v>
      </c>
      <c r="F70" s="5" t="s">
        <v>215</v>
      </c>
      <c r="G70" s="6" t="s">
        <v>214</v>
      </c>
      <c r="H70" s="5" t="str">
        <f>"000096"</f>
        <v>000096</v>
      </c>
      <c r="I70" s="4">
        <v>42541</v>
      </c>
      <c r="J70" s="5" t="str">
        <f>"000285"</f>
        <v>000285</v>
      </c>
      <c r="K70" s="4">
        <v>42739</v>
      </c>
      <c r="L70" s="5" t="str">
        <f>"000833"</f>
        <v>000833</v>
      </c>
      <c r="M70" s="4">
        <v>42755</v>
      </c>
      <c r="N70" s="5">
        <v>16</v>
      </c>
      <c r="O70" s="5" t="str">
        <f>"004100"</f>
        <v>004100</v>
      </c>
      <c r="P70" s="4">
        <v>43301</v>
      </c>
      <c r="Q70" s="7">
        <v>19.817789999999999</v>
      </c>
      <c r="R70" s="7">
        <v>2.7547999999999999</v>
      </c>
      <c r="S70" s="7">
        <v>17.062989999999999</v>
      </c>
      <c r="T70" s="5">
        <v>139</v>
      </c>
      <c r="U70" s="4">
        <v>43305</v>
      </c>
      <c r="V70" s="5">
        <v>9900333496</v>
      </c>
      <c r="W70" s="6" t="s">
        <v>66</v>
      </c>
      <c r="X70" s="5" t="s">
        <v>123</v>
      </c>
      <c r="Y70" s="6" t="s">
        <v>122</v>
      </c>
      <c r="Z70" s="5" t="s">
        <v>47</v>
      </c>
      <c r="AA70" s="6" t="s">
        <v>46</v>
      </c>
      <c r="AB70" s="7">
        <v>0.19817789999999999</v>
      </c>
      <c r="AD70" s="8"/>
      <c r="AF70" s="8"/>
      <c r="AG70" s="8"/>
    </row>
    <row r="71" spans="1:33" x14ac:dyDescent="0.2">
      <c r="A71" s="12">
        <v>3927</v>
      </c>
      <c r="B71" s="13" t="s">
        <v>33</v>
      </c>
      <c r="C71" s="13">
        <v>43305</v>
      </c>
      <c r="D71" s="5">
        <v>102</v>
      </c>
      <c r="E71" s="6" t="s">
        <v>53</v>
      </c>
      <c r="F71" s="5" t="s">
        <v>213</v>
      </c>
      <c r="G71" s="6" t="s">
        <v>212</v>
      </c>
      <c r="H71" s="5" t="str">
        <f>"000053"</f>
        <v>000053</v>
      </c>
      <c r="I71" s="4">
        <v>42539</v>
      </c>
      <c r="J71" s="5" t="str">
        <f>"000284"</f>
        <v>000284</v>
      </c>
      <c r="K71" s="4">
        <v>42739</v>
      </c>
      <c r="L71" s="5" t="str">
        <f>"000834"</f>
        <v>000834</v>
      </c>
      <c r="M71" s="4">
        <v>42755</v>
      </c>
      <c r="N71" s="5">
        <v>16</v>
      </c>
      <c r="O71" s="5" t="str">
        <f>"004101"</f>
        <v>004101</v>
      </c>
      <c r="P71" s="4">
        <v>43301</v>
      </c>
      <c r="Q71" s="7">
        <v>19.816800000000001</v>
      </c>
      <c r="R71" s="7">
        <v>2.7532100000000002</v>
      </c>
      <c r="S71" s="7">
        <v>17.063590000000001</v>
      </c>
      <c r="T71" s="5">
        <v>139</v>
      </c>
      <c r="U71" s="4">
        <v>43305</v>
      </c>
      <c r="V71" s="5">
        <v>9900333496</v>
      </c>
      <c r="W71" s="6" t="s">
        <v>66</v>
      </c>
      <c r="X71" s="5" t="s">
        <v>49</v>
      </c>
      <c r="Y71" s="6" t="s">
        <v>48</v>
      </c>
      <c r="Z71" s="5" t="s">
        <v>47</v>
      </c>
      <c r="AA71" s="6" t="s">
        <v>46</v>
      </c>
      <c r="AB71" s="7">
        <v>0.19816800000000001</v>
      </c>
      <c r="AD71" s="8"/>
      <c r="AF71" s="8"/>
      <c r="AG71" s="8"/>
    </row>
    <row r="72" spans="1:33" x14ac:dyDescent="0.2">
      <c r="A72" s="12">
        <v>3928</v>
      </c>
      <c r="B72" s="13" t="s">
        <v>33</v>
      </c>
      <c r="C72" s="13">
        <v>43305</v>
      </c>
      <c r="D72" s="5">
        <v>102</v>
      </c>
      <c r="E72" s="6" t="s">
        <v>53</v>
      </c>
      <c r="F72" s="5" t="s">
        <v>211</v>
      </c>
      <c r="G72" s="6" t="s">
        <v>210</v>
      </c>
      <c r="H72" s="5" t="str">
        <f>"000055"</f>
        <v>000055</v>
      </c>
      <c r="I72" s="4">
        <v>42539</v>
      </c>
      <c r="J72" s="5" t="str">
        <f>"000028"</f>
        <v>000028</v>
      </c>
      <c r="K72" s="4">
        <v>42740</v>
      </c>
      <c r="L72" s="5" t="str">
        <f>"000835"</f>
        <v>000835</v>
      </c>
      <c r="M72" s="4">
        <v>42755</v>
      </c>
      <c r="N72" s="5">
        <v>16</v>
      </c>
      <c r="O72" s="5" t="str">
        <f>"004102"</f>
        <v>004102</v>
      </c>
      <c r="P72" s="4">
        <v>43301</v>
      </c>
      <c r="Q72" s="7">
        <v>9.8674800000000005</v>
      </c>
      <c r="R72" s="7">
        <v>1.36809</v>
      </c>
      <c r="S72" s="7">
        <v>8.49939</v>
      </c>
      <c r="T72" s="5">
        <v>139</v>
      </c>
      <c r="U72" s="4">
        <v>43305</v>
      </c>
      <c r="V72" s="5">
        <v>9900333496</v>
      </c>
      <c r="W72" s="6" t="s">
        <v>66</v>
      </c>
      <c r="X72" s="5" t="s">
        <v>49</v>
      </c>
      <c r="Y72" s="6" t="s">
        <v>48</v>
      </c>
      <c r="Z72" s="5" t="s">
        <v>47</v>
      </c>
      <c r="AA72" s="6" t="s">
        <v>46</v>
      </c>
      <c r="AB72" s="7">
        <v>9.8674800000000007E-2</v>
      </c>
      <c r="AD72" s="8"/>
      <c r="AF72" s="8"/>
      <c r="AG72" s="8"/>
    </row>
    <row r="73" spans="1:33" x14ac:dyDescent="0.2">
      <c r="A73" s="12">
        <v>3929</v>
      </c>
      <c r="B73" s="13" t="s">
        <v>33</v>
      </c>
      <c r="C73" s="13">
        <v>43305</v>
      </c>
      <c r="D73" s="5">
        <v>102</v>
      </c>
      <c r="E73" s="6" t="s">
        <v>53</v>
      </c>
      <c r="F73" s="5" t="s">
        <v>209</v>
      </c>
      <c r="G73" s="6" t="s">
        <v>208</v>
      </c>
      <c r="H73" s="5" t="str">
        <f>"000205"</f>
        <v>000205</v>
      </c>
      <c r="I73" s="4">
        <v>42601</v>
      </c>
      <c r="J73" s="5" t="str">
        <f>"000286"</f>
        <v>000286</v>
      </c>
      <c r="K73" s="4">
        <v>42755</v>
      </c>
      <c r="L73" s="5" t="str">
        <f>"000836"</f>
        <v>000836</v>
      </c>
      <c r="M73" s="4">
        <v>42755</v>
      </c>
      <c r="N73" s="5">
        <v>17</v>
      </c>
      <c r="O73" s="5" t="str">
        <f>"004103"</f>
        <v>004103</v>
      </c>
      <c r="P73" s="4">
        <v>43301</v>
      </c>
      <c r="Q73" s="7">
        <v>19.77176</v>
      </c>
      <c r="R73" s="7">
        <v>2.7201399999999998</v>
      </c>
      <c r="S73" s="7">
        <v>17.05162</v>
      </c>
      <c r="T73" s="5">
        <v>139</v>
      </c>
      <c r="U73" s="4">
        <v>43305</v>
      </c>
      <c r="V73" s="5">
        <v>9900333496</v>
      </c>
      <c r="W73" s="6" t="s">
        <v>205</v>
      </c>
      <c r="X73" s="5" t="s">
        <v>49</v>
      </c>
      <c r="Y73" s="6" t="s">
        <v>48</v>
      </c>
      <c r="Z73" s="5" t="s">
        <v>47</v>
      </c>
      <c r="AA73" s="6" t="s">
        <v>46</v>
      </c>
      <c r="AB73" s="7">
        <v>0.19771759999999999</v>
      </c>
      <c r="AD73" s="8"/>
      <c r="AF73" s="8"/>
      <c r="AG73" s="8"/>
    </row>
    <row r="74" spans="1:33" x14ac:dyDescent="0.2">
      <c r="A74" s="12">
        <v>3930</v>
      </c>
      <c r="B74" s="13" t="s">
        <v>33</v>
      </c>
      <c r="C74" s="13">
        <v>43305</v>
      </c>
      <c r="D74" s="5">
        <v>102</v>
      </c>
      <c r="E74" s="6" t="s">
        <v>53</v>
      </c>
      <c r="F74" s="5" t="s">
        <v>207</v>
      </c>
      <c r="G74" s="6" t="s">
        <v>206</v>
      </c>
      <c r="H74" s="5" t="str">
        <f>"000201"</f>
        <v>000201</v>
      </c>
      <c r="I74" s="4">
        <v>42601</v>
      </c>
      <c r="J74" s="5" t="str">
        <f>"000283"</f>
        <v>000283</v>
      </c>
      <c r="K74" s="4">
        <v>42738</v>
      </c>
      <c r="L74" s="5" t="str">
        <f>"000837"</f>
        <v>000837</v>
      </c>
      <c r="M74" s="4">
        <v>42755</v>
      </c>
      <c r="N74" s="5">
        <v>17</v>
      </c>
      <c r="O74" s="5" t="str">
        <f>"004104"</f>
        <v>004104</v>
      </c>
      <c r="P74" s="4">
        <v>43301</v>
      </c>
      <c r="Q74" s="7">
        <v>19.77177</v>
      </c>
      <c r="R74" s="7">
        <v>2.7190599999999998</v>
      </c>
      <c r="S74" s="7">
        <v>17.052710000000001</v>
      </c>
      <c r="T74" s="5">
        <v>139</v>
      </c>
      <c r="U74" s="4">
        <v>43305</v>
      </c>
      <c r="V74" s="5">
        <v>9900333496</v>
      </c>
      <c r="W74" s="6" t="s">
        <v>205</v>
      </c>
      <c r="X74" s="5" t="s">
        <v>49</v>
      </c>
      <c r="Y74" s="6" t="s">
        <v>48</v>
      </c>
      <c r="Z74" s="5" t="s">
        <v>47</v>
      </c>
      <c r="AA74" s="6" t="s">
        <v>46</v>
      </c>
      <c r="AB74" s="7">
        <v>0.1977177</v>
      </c>
      <c r="AD74" s="8"/>
      <c r="AF74" s="8"/>
      <c r="AG74" s="8"/>
    </row>
    <row r="75" spans="1:33" x14ac:dyDescent="0.2">
      <c r="A75" s="12">
        <v>3931</v>
      </c>
      <c r="B75" s="13" t="s">
        <v>33</v>
      </c>
      <c r="C75" s="13">
        <v>43305</v>
      </c>
      <c r="D75" s="5">
        <v>102</v>
      </c>
      <c r="E75" s="6" t="s">
        <v>53</v>
      </c>
      <c r="F75" s="5" t="s">
        <v>204</v>
      </c>
      <c r="G75" s="6" t="s">
        <v>203</v>
      </c>
      <c r="H75" s="5" t="str">
        <f>"000204"</f>
        <v>000204</v>
      </c>
      <c r="I75" s="4">
        <v>42601</v>
      </c>
      <c r="J75" s="5" t="str">
        <f>"000282"</f>
        <v>000282</v>
      </c>
      <c r="K75" s="4">
        <v>42738</v>
      </c>
      <c r="L75" s="5" t="str">
        <f>"000838"</f>
        <v>000838</v>
      </c>
      <c r="M75" s="4">
        <v>42755</v>
      </c>
      <c r="N75" s="5">
        <v>17</v>
      </c>
      <c r="O75" s="5" t="str">
        <f>"004105"</f>
        <v>004105</v>
      </c>
      <c r="P75" s="4">
        <v>43301</v>
      </c>
      <c r="Q75" s="7">
        <v>19.788260000000001</v>
      </c>
      <c r="R75" s="7">
        <v>2.7150799999999999</v>
      </c>
      <c r="S75" s="7">
        <v>17.073180000000001</v>
      </c>
      <c r="T75" s="5">
        <v>139</v>
      </c>
      <c r="U75" s="4">
        <v>43305</v>
      </c>
      <c r="V75" s="5">
        <v>9900333496</v>
      </c>
      <c r="W75" s="6" t="s">
        <v>66</v>
      </c>
      <c r="X75" s="5" t="s">
        <v>49</v>
      </c>
      <c r="Y75" s="6" t="s">
        <v>48</v>
      </c>
      <c r="Z75" s="5" t="s">
        <v>47</v>
      </c>
      <c r="AA75" s="6" t="s">
        <v>46</v>
      </c>
      <c r="AB75" s="7">
        <v>0.19788260000000002</v>
      </c>
      <c r="AD75" s="8"/>
      <c r="AF75" s="8"/>
      <c r="AG75" s="8"/>
    </row>
    <row r="76" spans="1:33" x14ac:dyDescent="0.2">
      <c r="A76" s="12">
        <v>3932</v>
      </c>
      <c r="B76" s="13" t="s">
        <v>33</v>
      </c>
      <c r="C76" s="13">
        <v>43305</v>
      </c>
      <c r="D76" s="5">
        <v>102</v>
      </c>
      <c r="E76" s="6" t="s">
        <v>53</v>
      </c>
      <c r="F76" s="5" t="s">
        <v>202</v>
      </c>
      <c r="G76" s="6" t="s">
        <v>201</v>
      </c>
      <c r="H76" s="5" t="str">
        <f>"000202"</f>
        <v>000202</v>
      </c>
      <c r="I76" s="4">
        <v>42601</v>
      </c>
      <c r="J76" s="5" t="str">
        <f>"000281"</f>
        <v>000281</v>
      </c>
      <c r="K76" s="4">
        <v>42738</v>
      </c>
      <c r="L76" s="5" t="str">
        <f>"000839"</f>
        <v>000839</v>
      </c>
      <c r="M76" s="4">
        <v>42755</v>
      </c>
      <c r="N76" s="5">
        <v>17</v>
      </c>
      <c r="O76" s="5" t="str">
        <f>"004106"</f>
        <v>004106</v>
      </c>
      <c r="P76" s="4">
        <v>43301</v>
      </c>
      <c r="Q76" s="7">
        <v>19.71951</v>
      </c>
      <c r="R76" s="7">
        <v>2.7145899999999998</v>
      </c>
      <c r="S76" s="7">
        <v>17.004919999999998</v>
      </c>
      <c r="T76" s="5">
        <v>139</v>
      </c>
      <c r="U76" s="4">
        <v>43305</v>
      </c>
      <c r="V76" s="5">
        <v>9900333496</v>
      </c>
      <c r="W76" s="6" t="s">
        <v>66</v>
      </c>
      <c r="X76" s="5" t="s">
        <v>49</v>
      </c>
      <c r="Y76" s="6" t="s">
        <v>48</v>
      </c>
      <c r="Z76" s="5" t="s">
        <v>47</v>
      </c>
      <c r="AA76" s="6" t="s">
        <v>46</v>
      </c>
      <c r="AB76" s="7">
        <v>0.19719509999999998</v>
      </c>
      <c r="AD76" s="8"/>
      <c r="AF76" s="8"/>
      <c r="AG76" s="8"/>
    </row>
    <row r="77" spans="1:33" x14ac:dyDescent="0.2">
      <c r="A77" s="12">
        <v>3933</v>
      </c>
      <c r="B77" s="13" t="s">
        <v>33</v>
      </c>
      <c r="C77" s="13">
        <v>43305</v>
      </c>
      <c r="D77" s="5">
        <v>102</v>
      </c>
      <c r="E77" s="6" t="s">
        <v>53</v>
      </c>
      <c r="F77" s="5" t="s">
        <v>200</v>
      </c>
      <c r="G77" s="6" t="s">
        <v>199</v>
      </c>
      <c r="H77" s="5" t="str">
        <f>"000284"</f>
        <v>000284</v>
      </c>
      <c r="I77" s="4">
        <v>42627</v>
      </c>
      <c r="J77" s="5" t="str">
        <f>"000301"</f>
        <v>000301</v>
      </c>
      <c r="K77" s="4">
        <v>42714</v>
      </c>
      <c r="L77" s="5" t="str">
        <f>"000878"</f>
        <v>000878</v>
      </c>
      <c r="M77" s="4">
        <v>42765</v>
      </c>
      <c r="N77" s="5">
        <v>17</v>
      </c>
      <c r="O77" s="5" t="str">
        <f>"004144"</f>
        <v>004144</v>
      </c>
      <c r="P77" s="4">
        <v>43301</v>
      </c>
      <c r="Q77" s="7">
        <v>19.99438</v>
      </c>
      <c r="R77" s="7">
        <v>2.7193200000000002</v>
      </c>
      <c r="S77" s="7">
        <v>17.27506</v>
      </c>
      <c r="T77" s="5">
        <v>139</v>
      </c>
      <c r="U77" s="4">
        <v>43305</v>
      </c>
      <c r="V77" s="5">
        <v>9900333496</v>
      </c>
      <c r="W77" s="6" t="s">
        <v>50</v>
      </c>
      <c r="X77" s="5" t="s">
        <v>161</v>
      </c>
      <c r="Y77" s="6" t="s">
        <v>160</v>
      </c>
      <c r="Z77" s="5" t="s">
        <v>47</v>
      </c>
      <c r="AA77" s="6" t="s">
        <v>46</v>
      </c>
      <c r="AB77" s="7">
        <v>0.1999438</v>
      </c>
      <c r="AD77" s="8"/>
      <c r="AF77" s="8"/>
      <c r="AG77" s="8"/>
    </row>
    <row r="78" spans="1:33" x14ac:dyDescent="0.2">
      <c r="A78" s="12">
        <v>4117</v>
      </c>
      <c r="B78" s="13" t="s">
        <v>33</v>
      </c>
      <c r="C78" s="13">
        <v>43308</v>
      </c>
      <c r="D78" s="5">
        <v>102</v>
      </c>
      <c r="E78" s="6" t="s">
        <v>53</v>
      </c>
      <c r="F78" s="5" t="s">
        <v>198</v>
      </c>
      <c r="G78" s="6" t="s">
        <v>197</v>
      </c>
      <c r="H78" s="5" t="str">
        <f>"000267"</f>
        <v>000267</v>
      </c>
      <c r="I78" s="4">
        <v>43157</v>
      </c>
      <c r="J78" s="5" t="str">
        <f>"000026"</f>
        <v>000026</v>
      </c>
      <c r="K78" s="4">
        <v>43251</v>
      </c>
      <c r="L78" s="5" t="str">
        <f>"000078"</f>
        <v>000078</v>
      </c>
      <c r="M78" s="4">
        <v>43252</v>
      </c>
      <c r="N78" s="5">
        <v>18</v>
      </c>
      <c r="O78" s="5" t="str">
        <f>"004409"</f>
        <v>004409</v>
      </c>
      <c r="P78" s="4">
        <v>43306</v>
      </c>
      <c r="Q78" s="7">
        <v>19.97494</v>
      </c>
      <c r="R78" s="7">
        <v>2.0203000000000002</v>
      </c>
      <c r="S78" s="7">
        <v>17.954640000000001</v>
      </c>
      <c r="T78" s="5">
        <v>145</v>
      </c>
      <c r="U78" s="4">
        <v>43308</v>
      </c>
      <c r="V78" s="5">
        <v>9900333496</v>
      </c>
      <c r="W78" s="6" t="s">
        <v>66</v>
      </c>
      <c r="X78" s="5" t="s">
        <v>41</v>
      </c>
      <c r="Y78" s="6" t="s">
        <v>40</v>
      </c>
      <c r="Z78" s="5" t="s">
        <v>47</v>
      </c>
      <c r="AA78" s="6" t="s">
        <v>46</v>
      </c>
      <c r="AB78" s="7">
        <v>0.19974939999999999</v>
      </c>
      <c r="AD78" s="8"/>
      <c r="AF78" s="8"/>
      <c r="AG78" s="8"/>
    </row>
    <row r="79" spans="1:33" x14ac:dyDescent="0.2">
      <c r="A79" s="12">
        <v>4520</v>
      </c>
      <c r="B79" s="13" t="s">
        <v>30</v>
      </c>
      <c r="C79" s="13">
        <v>43318</v>
      </c>
      <c r="D79" s="5">
        <v>102</v>
      </c>
      <c r="E79" s="6" t="s">
        <v>53</v>
      </c>
      <c r="F79" s="5" t="s">
        <v>196</v>
      </c>
      <c r="G79" s="6" t="s">
        <v>195</v>
      </c>
      <c r="H79" s="5" t="str">
        <f>"000285"</f>
        <v>000285</v>
      </c>
      <c r="I79" s="4">
        <v>42627</v>
      </c>
      <c r="J79" s="5" t="str">
        <f>"000302"</f>
        <v>000302</v>
      </c>
      <c r="K79" s="4">
        <v>42755</v>
      </c>
      <c r="L79" s="5" t="str">
        <f>"000910"</f>
        <v>000910</v>
      </c>
      <c r="M79" s="4">
        <v>42791</v>
      </c>
      <c r="N79" s="5">
        <v>17</v>
      </c>
      <c r="O79" s="5" t="str">
        <f>"004630"</f>
        <v>004630</v>
      </c>
      <c r="P79" s="4">
        <v>43313</v>
      </c>
      <c r="Q79" s="7">
        <v>19.762139999999999</v>
      </c>
      <c r="R79" s="7">
        <v>2.7381700000000002</v>
      </c>
      <c r="S79" s="7">
        <v>17.023969999999998</v>
      </c>
      <c r="T79" s="5">
        <v>159</v>
      </c>
      <c r="U79" s="4">
        <v>43318</v>
      </c>
      <c r="V79" s="5">
        <v>9900333496</v>
      </c>
      <c r="W79" s="6" t="s">
        <v>66</v>
      </c>
      <c r="X79" s="5" t="s">
        <v>161</v>
      </c>
      <c r="Y79" s="6" t="s">
        <v>160</v>
      </c>
      <c r="Z79" s="5" t="s">
        <v>47</v>
      </c>
      <c r="AA79" s="6" t="s">
        <v>46</v>
      </c>
      <c r="AB79" s="7">
        <v>0.19762139999999997</v>
      </c>
      <c r="AD79" s="8"/>
      <c r="AF79" s="8"/>
      <c r="AG79" s="8"/>
    </row>
    <row r="80" spans="1:33" x14ac:dyDescent="0.2">
      <c r="A80" s="12">
        <v>4521</v>
      </c>
      <c r="B80" s="13" t="s">
        <v>30</v>
      </c>
      <c r="C80" s="13">
        <v>43318</v>
      </c>
      <c r="D80" s="5">
        <v>102</v>
      </c>
      <c r="E80" s="6" t="s">
        <v>53</v>
      </c>
      <c r="F80" s="5" t="s">
        <v>194</v>
      </c>
      <c r="G80" s="6" t="s">
        <v>193</v>
      </c>
      <c r="H80" s="5" t="str">
        <f>" 00396"</f>
        <v xml:space="preserve"> 00396</v>
      </c>
      <c r="I80" s="4">
        <v>42731</v>
      </c>
      <c r="J80" s="5" t="str">
        <f>"000321"</f>
        <v>000321</v>
      </c>
      <c r="K80" s="4">
        <v>42793</v>
      </c>
      <c r="L80" s="5" t="str">
        <f>"000922"</f>
        <v>000922</v>
      </c>
      <c r="M80" s="4">
        <v>42793</v>
      </c>
      <c r="N80" s="5">
        <v>17</v>
      </c>
      <c r="O80" s="5" t="str">
        <f>"004653"</f>
        <v>004653</v>
      </c>
      <c r="P80" s="4">
        <v>43313</v>
      </c>
      <c r="Q80" s="7">
        <v>19.635549999999999</v>
      </c>
      <c r="R80" s="7">
        <v>3.08894</v>
      </c>
      <c r="S80" s="7">
        <v>16.546610000000001</v>
      </c>
      <c r="T80" s="5">
        <v>159</v>
      </c>
      <c r="U80" s="4">
        <v>43318</v>
      </c>
      <c r="V80" s="5">
        <v>9900333496</v>
      </c>
      <c r="W80" s="6" t="s">
        <v>50</v>
      </c>
      <c r="X80" s="5" t="s">
        <v>49</v>
      </c>
      <c r="Y80" s="6" t="s">
        <v>48</v>
      </c>
      <c r="Z80" s="5" t="s">
        <v>47</v>
      </c>
      <c r="AA80" s="6" t="s">
        <v>46</v>
      </c>
      <c r="AB80" s="7">
        <v>0.19635549999999999</v>
      </c>
      <c r="AD80" s="8"/>
      <c r="AF80" s="8"/>
      <c r="AG80" s="8"/>
    </row>
    <row r="81" spans="1:33" x14ac:dyDescent="0.2">
      <c r="A81" s="12">
        <v>4522</v>
      </c>
      <c r="B81" s="13" t="s">
        <v>30</v>
      </c>
      <c r="C81" s="13">
        <v>43318</v>
      </c>
      <c r="D81" s="5">
        <v>102</v>
      </c>
      <c r="E81" s="6" t="s">
        <v>53</v>
      </c>
      <c r="F81" s="5" t="s">
        <v>192</v>
      </c>
      <c r="G81" s="6" t="s">
        <v>191</v>
      </c>
      <c r="H81" s="5" t="str">
        <f>"000098"</f>
        <v>000098</v>
      </c>
      <c r="I81" s="4">
        <v>42913</v>
      </c>
      <c r="J81" s="5" t="str">
        <f>"000033"</f>
        <v>000033</v>
      </c>
      <c r="K81" s="4">
        <v>43000</v>
      </c>
      <c r="L81" s="5" t="str">
        <f>"000059"</f>
        <v>000059</v>
      </c>
      <c r="M81" s="4">
        <v>43000</v>
      </c>
      <c r="N81" s="5">
        <v>17</v>
      </c>
      <c r="O81" s="5" t="str">
        <f>"004791"</f>
        <v>004791</v>
      </c>
      <c r="P81" s="4">
        <v>43314</v>
      </c>
      <c r="Q81" s="7">
        <v>24.50676</v>
      </c>
      <c r="R81" s="7">
        <v>3.4195700000000002</v>
      </c>
      <c r="S81" s="7">
        <v>21.08719</v>
      </c>
      <c r="T81" s="5">
        <v>160</v>
      </c>
      <c r="U81" s="4">
        <v>43318</v>
      </c>
      <c r="V81" s="5">
        <v>9900333493</v>
      </c>
      <c r="W81" s="6" t="s">
        <v>66</v>
      </c>
      <c r="X81" s="5" t="s">
        <v>139</v>
      </c>
      <c r="Y81" s="6" t="s">
        <v>138</v>
      </c>
      <c r="Z81" s="5" t="s">
        <v>47</v>
      </c>
      <c r="AA81" s="6" t="s">
        <v>46</v>
      </c>
      <c r="AB81" s="7">
        <v>0.2450676</v>
      </c>
      <c r="AD81" s="8"/>
      <c r="AF81" s="8"/>
      <c r="AG81" s="8"/>
    </row>
    <row r="82" spans="1:33" x14ac:dyDescent="0.2">
      <c r="A82" s="12">
        <v>4842</v>
      </c>
      <c r="B82" s="13" t="s">
        <v>30</v>
      </c>
      <c r="C82" s="13">
        <v>43326</v>
      </c>
      <c r="D82" s="5">
        <v>102</v>
      </c>
      <c r="E82" s="6" t="s">
        <v>53</v>
      </c>
      <c r="F82" s="5" t="s">
        <v>190</v>
      </c>
      <c r="G82" s="6" t="s">
        <v>189</v>
      </c>
      <c r="H82" s="5" t="str">
        <f>"000208"</f>
        <v>000208</v>
      </c>
      <c r="I82" s="4">
        <v>42601</v>
      </c>
      <c r="J82" s="5" t="str">
        <f>"000318"</f>
        <v>000318</v>
      </c>
      <c r="K82" s="4">
        <v>42793</v>
      </c>
      <c r="L82" s="5" t="str">
        <f>"000919"</f>
        <v>000919</v>
      </c>
      <c r="M82" s="4">
        <v>42794</v>
      </c>
      <c r="N82" s="5">
        <v>17</v>
      </c>
      <c r="O82" s="5" t="str">
        <f>"004920"</f>
        <v>004920</v>
      </c>
      <c r="P82" s="4">
        <v>43318</v>
      </c>
      <c r="Q82" s="7">
        <v>14.817869999999999</v>
      </c>
      <c r="R82" s="7">
        <v>2.0972300000000001</v>
      </c>
      <c r="S82" s="7">
        <v>12.72064</v>
      </c>
      <c r="T82" s="5">
        <v>170</v>
      </c>
      <c r="U82" s="4">
        <v>43326</v>
      </c>
      <c r="V82" s="5">
        <v>9900333496</v>
      </c>
      <c r="W82" s="6" t="s">
        <v>50</v>
      </c>
      <c r="X82" s="5" t="s">
        <v>49</v>
      </c>
      <c r="Y82" s="6" t="s">
        <v>48</v>
      </c>
      <c r="Z82" s="5" t="s">
        <v>47</v>
      </c>
      <c r="AA82" s="6" t="s">
        <v>46</v>
      </c>
      <c r="AB82" s="7">
        <v>0.1481787</v>
      </c>
      <c r="AD82" s="8"/>
      <c r="AF82" s="8"/>
      <c r="AG82" s="8"/>
    </row>
    <row r="83" spans="1:33" x14ac:dyDescent="0.2">
      <c r="A83" s="12">
        <v>4843</v>
      </c>
      <c r="B83" s="13" t="s">
        <v>30</v>
      </c>
      <c r="C83" s="13">
        <v>43326</v>
      </c>
      <c r="D83" s="5">
        <v>102</v>
      </c>
      <c r="E83" s="6" t="s">
        <v>53</v>
      </c>
      <c r="F83" s="5" t="s">
        <v>188</v>
      </c>
      <c r="G83" s="6" t="s">
        <v>187</v>
      </c>
      <c r="H83" s="5" t="str">
        <f>"000397"</f>
        <v>000397</v>
      </c>
      <c r="I83" s="4">
        <v>42731</v>
      </c>
      <c r="J83" s="5" t="str">
        <f>"000322"</f>
        <v>000322</v>
      </c>
      <c r="K83" s="4">
        <v>42793</v>
      </c>
      <c r="L83" s="5" t="str">
        <f>"000921"</f>
        <v>000921</v>
      </c>
      <c r="M83" s="4">
        <v>42794</v>
      </c>
      <c r="N83" s="5">
        <v>17</v>
      </c>
      <c r="O83" s="5" t="str">
        <f>"004921"</f>
        <v>004921</v>
      </c>
      <c r="P83" s="4">
        <v>43318</v>
      </c>
      <c r="Q83" s="7">
        <v>19.812059999999999</v>
      </c>
      <c r="R83" s="7">
        <v>3.1253899999999999</v>
      </c>
      <c r="S83" s="7">
        <v>16.686669999999999</v>
      </c>
      <c r="T83" s="5">
        <v>170</v>
      </c>
      <c r="U83" s="4">
        <v>43326</v>
      </c>
      <c r="V83" s="5">
        <v>9900333496</v>
      </c>
      <c r="W83" s="6" t="s">
        <v>50</v>
      </c>
      <c r="X83" s="5" t="s">
        <v>49</v>
      </c>
      <c r="Y83" s="6" t="s">
        <v>48</v>
      </c>
      <c r="Z83" s="5" t="s">
        <v>47</v>
      </c>
      <c r="AA83" s="6" t="s">
        <v>46</v>
      </c>
      <c r="AB83" s="7">
        <v>0.19812059999999998</v>
      </c>
      <c r="AD83" s="8"/>
      <c r="AF83" s="8"/>
      <c r="AG83" s="8"/>
    </row>
    <row r="84" spans="1:33" x14ac:dyDescent="0.2">
      <c r="A84" s="12">
        <v>4844</v>
      </c>
      <c r="B84" s="13" t="s">
        <v>30</v>
      </c>
      <c r="C84" s="13">
        <v>43326</v>
      </c>
      <c r="D84" s="5">
        <v>102</v>
      </c>
      <c r="E84" s="6" t="s">
        <v>53</v>
      </c>
      <c r="F84" s="5" t="s">
        <v>186</v>
      </c>
      <c r="G84" s="6" t="s">
        <v>185</v>
      </c>
      <c r="H84" s="5" t="str">
        <f>"000206"</f>
        <v>000206</v>
      </c>
      <c r="I84" s="4">
        <v>42601</v>
      </c>
      <c r="J84" s="5" t="str">
        <f>"000319"</f>
        <v>000319</v>
      </c>
      <c r="K84" s="4">
        <v>42793</v>
      </c>
      <c r="L84" s="5" t="str">
        <f>"000929"</f>
        <v>000929</v>
      </c>
      <c r="M84" s="4">
        <v>42794</v>
      </c>
      <c r="N84" s="5">
        <v>17</v>
      </c>
      <c r="O84" s="5" t="str">
        <f>"004922"</f>
        <v>004922</v>
      </c>
      <c r="P84" s="4">
        <v>43318</v>
      </c>
      <c r="Q84" s="7">
        <v>19.98565</v>
      </c>
      <c r="R84" s="7">
        <v>2.7242700000000002</v>
      </c>
      <c r="S84" s="7">
        <v>17.261379999999999</v>
      </c>
      <c r="T84" s="5">
        <v>170</v>
      </c>
      <c r="U84" s="4">
        <v>43326</v>
      </c>
      <c r="V84" s="5">
        <v>9900333496</v>
      </c>
      <c r="W84" s="6" t="s">
        <v>43</v>
      </c>
      <c r="X84" s="5" t="s">
        <v>49</v>
      </c>
      <c r="Y84" s="6" t="s">
        <v>48</v>
      </c>
      <c r="Z84" s="5" t="s">
        <v>47</v>
      </c>
      <c r="AA84" s="6" t="s">
        <v>46</v>
      </c>
      <c r="AB84" s="7">
        <v>0.19985649999999999</v>
      </c>
      <c r="AD84" s="8"/>
      <c r="AF84" s="8"/>
      <c r="AG84" s="8"/>
    </row>
    <row r="85" spans="1:33" x14ac:dyDescent="0.2">
      <c r="A85" s="12">
        <v>4845</v>
      </c>
      <c r="B85" s="13" t="s">
        <v>30</v>
      </c>
      <c r="C85" s="13">
        <v>43326</v>
      </c>
      <c r="D85" s="5">
        <v>102</v>
      </c>
      <c r="E85" s="6" t="s">
        <v>53</v>
      </c>
      <c r="F85" s="5" t="s">
        <v>184</v>
      </c>
      <c r="G85" s="6" t="s">
        <v>183</v>
      </c>
      <c r="H85" s="5" t="str">
        <f>"000298"</f>
        <v>000298</v>
      </c>
      <c r="I85" s="4">
        <v>42627</v>
      </c>
      <c r="J85" s="5" t="str">
        <f>"000352"</f>
        <v>000352</v>
      </c>
      <c r="K85" s="4">
        <v>42816</v>
      </c>
      <c r="L85" s="5" t="str">
        <f>"001016"</f>
        <v>001016</v>
      </c>
      <c r="M85" s="4">
        <v>42824</v>
      </c>
      <c r="N85" s="5">
        <v>17</v>
      </c>
      <c r="O85" s="5" t="str">
        <f>"005072"</f>
        <v>005072</v>
      </c>
      <c r="P85" s="4">
        <v>43322</v>
      </c>
      <c r="Q85" s="7">
        <v>19.68432</v>
      </c>
      <c r="R85" s="7">
        <v>2.7957900000000002</v>
      </c>
      <c r="S85" s="7">
        <v>16.888529999999999</v>
      </c>
      <c r="T85" s="5">
        <v>170</v>
      </c>
      <c r="U85" s="4">
        <v>43326</v>
      </c>
      <c r="V85" s="5">
        <v>9900333496</v>
      </c>
      <c r="W85" s="6" t="s">
        <v>66</v>
      </c>
      <c r="X85" s="5" t="s">
        <v>161</v>
      </c>
      <c r="Y85" s="6" t="s">
        <v>160</v>
      </c>
      <c r="Z85" s="5" t="s">
        <v>47</v>
      </c>
      <c r="AA85" s="6" t="s">
        <v>46</v>
      </c>
      <c r="AB85" s="7">
        <v>0.1968432</v>
      </c>
      <c r="AD85" s="8"/>
      <c r="AF85" s="8"/>
      <c r="AG85" s="8"/>
    </row>
    <row r="86" spans="1:33" x14ac:dyDescent="0.2">
      <c r="A86" s="12">
        <v>5261</v>
      </c>
      <c r="B86" s="13" t="s">
        <v>35</v>
      </c>
      <c r="C86" s="13">
        <v>43346</v>
      </c>
      <c r="D86" s="5">
        <v>102</v>
      </c>
      <c r="E86" s="6" t="s">
        <v>53</v>
      </c>
      <c r="F86" s="5" t="s">
        <v>182</v>
      </c>
      <c r="G86" s="6" t="s">
        <v>181</v>
      </c>
      <c r="H86" s="5" t="str">
        <f>"000096"</f>
        <v>000096</v>
      </c>
      <c r="I86" s="4">
        <v>43332</v>
      </c>
      <c r="J86" s="5" t="str">
        <f>"000109"</f>
        <v>000109</v>
      </c>
      <c r="K86" s="4">
        <v>43332</v>
      </c>
      <c r="L86" s="5" t="str">
        <f>"000242"</f>
        <v>000242</v>
      </c>
      <c r="M86" s="4">
        <v>43333</v>
      </c>
      <c r="N86" s="5">
        <v>17</v>
      </c>
      <c r="O86" s="5" t="str">
        <f>"005588"</f>
        <v>005588</v>
      </c>
      <c r="P86" s="4">
        <v>43343</v>
      </c>
      <c r="Q86" s="7">
        <v>11.2715</v>
      </c>
      <c r="R86" s="7">
        <v>0.23671</v>
      </c>
      <c r="S86" s="7">
        <v>11.034789999999999</v>
      </c>
      <c r="T86" s="5">
        <v>186</v>
      </c>
      <c r="U86" s="4">
        <v>43346</v>
      </c>
      <c r="V86" s="5">
        <v>0</v>
      </c>
      <c r="W86" s="6" t="s">
        <v>180</v>
      </c>
      <c r="X86" s="5" t="s">
        <v>36</v>
      </c>
      <c r="Y86" s="6" t="s">
        <v>37</v>
      </c>
      <c r="Z86" s="5" t="s">
        <v>47</v>
      </c>
      <c r="AA86" s="6" t="s">
        <v>46</v>
      </c>
      <c r="AB86" s="7">
        <f>Q86/100</f>
        <v>0.112715</v>
      </c>
      <c r="AD86" s="8"/>
      <c r="AF86" s="8"/>
      <c r="AG86" s="8"/>
    </row>
    <row r="87" spans="1:33" x14ac:dyDescent="0.2">
      <c r="A87" s="12">
        <v>5262</v>
      </c>
      <c r="B87" s="13" t="s">
        <v>35</v>
      </c>
      <c r="C87" s="13">
        <v>43346</v>
      </c>
      <c r="D87" s="5">
        <v>102</v>
      </c>
      <c r="E87" s="6" t="s">
        <v>53</v>
      </c>
      <c r="F87" s="5" t="s">
        <v>179</v>
      </c>
      <c r="G87" s="6" t="s">
        <v>178</v>
      </c>
      <c r="H87" s="5" t="str">
        <f>"000288"</f>
        <v>000288</v>
      </c>
      <c r="I87" s="4">
        <v>42627</v>
      </c>
      <c r="J87" s="5" t="str">
        <f>"000342"</f>
        <v>000342</v>
      </c>
      <c r="K87" s="4">
        <v>42824</v>
      </c>
      <c r="L87" s="5" t="str">
        <f>"001050"</f>
        <v>001050</v>
      </c>
      <c r="M87" s="4">
        <v>42825</v>
      </c>
      <c r="N87" s="5">
        <v>17</v>
      </c>
      <c r="O87" s="5" t="str">
        <f>"005461"</f>
        <v>005461</v>
      </c>
      <c r="P87" s="4">
        <v>43340</v>
      </c>
      <c r="Q87" s="7">
        <v>19.581610000000001</v>
      </c>
      <c r="R87" s="7">
        <v>2.87948</v>
      </c>
      <c r="S87" s="7">
        <v>16.70213</v>
      </c>
      <c r="T87" s="5">
        <v>193</v>
      </c>
      <c r="U87" s="4">
        <v>43346</v>
      </c>
      <c r="V87" s="5">
        <v>9900333496</v>
      </c>
      <c r="W87" s="6" t="s">
        <v>66</v>
      </c>
      <c r="X87" s="5" t="s">
        <v>161</v>
      </c>
      <c r="Y87" s="6" t="s">
        <v>160</v>
      </c>
      <c r="Z87" s="5" t="s">
        <v>47</v>
      </c>
      <c r="AA87" s="6" t="s">
        <v>46</v>
      </c>
      <c r="AB87" s="7">
        <f>Q87/100</f>
        <v>0.19581610000000002</v>
      </c>
      <c r="AD87" s="8"/>
      <c r="AF87" s="8"/>
      <c r="AG87" s="8"/>
    </row>
    <row r="88" spans="1:33" x14ac:dyDescent="0.2">
      <c r="A88" s="12">
        <v>5263</v>
      </c>
      <c r="B88" s="13" t="s">
        <v>35</v>
      </c>
      <c r="C88" s="13">
        <v>43346</v>
      </c>
      <c r="D88" s="5">
        <v>102</v>
      </c>
      <c r="E88" s="6" t="s">
        <v>53</v>
      </c>
      <c r="F88" s="5" t="s">
        <v>177</v>
      </c>
      <c r="G88" s="6" t="s">
        <v>176</v>
      </c>
      <c r="H88" s="5" t="str">
        <f>"000300"</f>
        <v>000300</v>
      </c>
      <c r="I88" s="4">
        <v>42627</v>
      </c>
      <c r="J88" s="5" t="str">
        <f>"000343"</f>
        <v>000343</v>
      </c>
      <c r="K88" s="4">
        <v>42824</v>
      </c>
      <c r="L88" s="5" t="str">
        <f>"001051"</f>
        <v>001051</v>
      </c>
      <c r="M88" s="4">
        <v>42825</v>
      </c>
      <c r="N88" s="5">
        <v>17</v>
      </c>
      <c r="O88" s="5" t="str">
        <f>"005462"</f>
        <v>005462</v>
      </c>
      <c r="P88" s="4">
        <v>43340</v>
      </c>
      <c r="Q88" s="7">
        <v>19.798850000000002</v>
      </c>
      <c r="R88" s="7">
        <v>2.9799000000000002</v>
      </c>
      <c r="S88" s="7">
        <v>16.818950000000001</v>
      </c>
      <c r="T88" s="5">
        <v>193</v>
      </c>
      <c r="U88" s="4">
        <v>43346</v>
      </c>
      <c r="V88" s="5">
        <v>9900333496</v>
      </c>
      <c r="W88" s="6" t="s">
        <v>66</v>
      </c>
      <c r="X88" s="5" t="s">
        <v>161</v>
      </c>
      <c r="Y88" s="6" t="s">
        <v>160</v>
      </c>
      <c r="Z88" s="5" t="s">
        <v>47</v>
      </c>
      <c r="AA88" s="6" t="s">
        <v>46</v>
      </c>
      <c r="AB88" s="7">
        <f>Q88/100</f>
        <v>0.19798850000000001</v>
      </c>
      <c r="AD88" s="8"/>
      <c r="AF88" s="8"/>
      <c r="AG88" s="8"/>
    </row>
    <row r="89" spans="1:33" x14ac:dyDescent="0.2">
      <c r="A89" s="12">
        <v>5264</v>
      </c>
      <c r="B89" s="13" t="s">
        <v>35</v>
      </c>
      <c r="C89" s="13">
        <v>43346</v>
      </c>
      <c r="D89" s="5">
        <v>102</v>
      </c>
      <c r="E89" s="6" t="s">
        <v>53</v>
      </c>
      <c r="F89" s="5" t="s">
        <v>175</v>
      </c>
      <c r="G89" s="6" t="s">
        <v>174</v>
      </c>
      <c r="H89" s="5" t="str">
        <f>"000394"</f>
        <v>000394</v>
      </c>
      <c r="I89" s="4">
        <v>42731</v>
      </c>
      <c r="J89" s="5" t="str">
        <f>" 00344"</f>
        <v xml:space="preserve"> 00344</v>
      </c>
      <c r="K89" s="4">
        <v>42825</v>
      </c>
      <c r="L89" s="5" t="str">
        <f>"001053"</f>
        <v>001053</v>
      </c>
      <c r="M89" s="4">
        <v>42825</v>
      </c>
      <c r="N89" s="5">
        <v>17</v>
      </c>
      <c r="O89" s="5" t="str">
        <f>"005464"</f>
        <v>005464</v>
      </c>
      <c r="P89" s="4">
        <v>43340</v>
      </c>
      <c r="Q89" s="7">
        <v>19.687329999999999</v>
      </c>
      <c r="R89" s="7">
        <v>3.1048399999999998</v>
      </c>
      <c r="S89" s="7">
        <v>16.58249</v>
      </c>
      <c r="T89" s="5">
        <v>193</v>
      </c>
      <c r="U89" s="4">
        <v>43346</v>
      </c>
      <c r="V89" s="5">
        <v>9900333496</v>
      </c>
      <c r="W89" s="6" t="s">
        <v>50</v>
      </c>
      <c r="X89" s="5" t="s">
        <v>49</v>
      </c>
      <c r="Y89" s="6" t="s">
        <v>48</v>
      </c>
      <c r="Z89" s="5" t="s">
        <v>47</v>
      </c>
      <c r="AA89" s="6" t="s">
        <v>46</v>
      </c>
      <c r="AB89" s="7">
        <f>Q89/100</f>
        <v>0.1968733</v>
      </c>
      <c r="AD89" s="8"/>
      <c r="AF89" s="8"/>
      <c r="AG89" s="8"/>
    </row>
    <row r="90" spans="1:33" x14ac:dyDescent="0.2">
      <c r="A90" s="12">
        <v>5265</v>
      </c>
      <c r="B90" s="13" t="s">
        <v>35</v>
      </c>
      <c r="C90" s="13">
        <v>43346</v>
      </c>
      <c r="D90" s="5">
        <v>102</v>
      </c>
      <c r="E90" s="6" t="s">
        <v>53</v>
      </c>
      <c r="F90" s="5" t="s">
        <v>173</v>
      </c>
      <c r="G90" s="6" t="s">
        <v>172</v>
      </c>
      <c r="H90" s="5" t="str">
        <f>"000291"</f>
        <v>000291</v>
      </c>
      <c r="I90" s="4">
        <v>42627</v>
      </c>
      <c r="J90" s="5" t="str">
        <f>"000397"</f>
        <v>000397</v>
      </c>
      <c r="K90" s="4">
        <v>42825</v>
      </c>
      <c r="L90" s="5" t="str">
        <f>"001069"</f>
        <v>001069</v>
      </c>
      <c r="M90" s="4">
        <v>42825</v>
      </c>
      <c r="N90" s="5">
        <v>17</v>
      </c>
      <c r="O90" s="5" t="str">
        <f>"005471"</f>
        <v>005471</v>
      </c>
      <c r="P90" s="4">
        <v>43340</v>
      </c>
      <c r="Q90" s="7">
        <v>19.765650000000001</v>
      </c>
      <c r="R90" s="7">
        <v>3.0511699999999999</v>
      </c>
      <c r="S90" s="7">
        <v>16.714479999999998</v>
      </c>
      <c r="T90" s="5">
        <v>193</v>
      </c>
      <c r="U90" s="4">
        <v>43346</v>
      </c>
      <c r="V90" s="5">
        <v>9900333496</v>
      </c>
      <c r="W90" s="6" t="s">
        <v>50</v>
      </c>
      <c r="X90" s="5" t="s">
        <v>161</v>
      </c>
      <c r="Y90" s="6" t="s">
        <v>160</v>
      </c>
      <c r="Z90" s="5" t="s">
        <v>47</v>
      </c>
      <c r="AA90" s="6" t="s">
        <v>46</v>
      </c>
      <c r="AB90" s="7">
        <f>Q90/100</f>
        <v>0.19765650000000001</v>
      </c>
      <c r="AD90" s="8"/>
      <c r="AF90" s="8"/>
      <c r="AG90" s="8"/>
    </row>
    <row r="91" spans="1:33" x14ac:dyDescent="0.2">
      <c r="A91" s="12">
        <v>5266</v>
      </c>
      <c r="B91" s="13" t="s">
        <v>35</v>
      </c>
      <c r="C91" s="13">
        <v>43346</v>
      </c>
      <c r="D91" s="5">
        <v>102</v>
      </c>
      <c r="E91" s="6" t="s">
        <v>53</v>
      </c>
      <c r="F91" s="5" t="s">
        <v>171</v>
      </c>
      <c r="G91" s="6" t="s">
        <v>170</v>
      </c>
      <c r="H91" s="5" t="str">
        <f>"000091"</f>
        <v>000091</v>
      </c>
      <c r="I91" s="4">
        <v>42541</v>
      </c>
      <c r="J91" s="5" t="str">
        <f>"000398"</f>
        <v>000398</v>
      </c>
      <c r="K91" s="4">
        <v>42825</v>
      </c>
      <c r="L91" s="5" t="str">
        <f>"001070"</f>
        <v>001070</v>
      </c>
      <c r="M91" s="4">
        <v>42825</v>
      </c>
      <c r="N91" s="5">
        <v>16</v>
      </c>
      <c r="O91" s="5" t="str">
        <f>"005472"</f>
        <v>005472</v>
      </c>
      <c r="P91" s="4">
        <v>43340</v>
      </c>
      <c r="Q91" s="7">
        <v>19.799029999999998</v>
      </c>
      <c r="R91" s="7">
        <v>3.0994199999999998</v>
      </c>
      <c r="S91" s="7">
        <v>16.69961</v>
      </c>
      <c r="T91" s="5">
        <v>193</v>
      </c>
      <c r="U91" s="4">
        <v>43346</v>
      </c>
      <c r="V91" s="5">
        <v>9900333496</v>
      </c>
      <c r="W91" s="6" t="s">
        <v>50</v>
      </c>
      <c r="X91" s="5" t="s">
        <v>123</v>
      </c>
      <c r="Y91" s="6" t="s">
        <v>122</v>
      </c>
      <c r="Z91" s="5" t="s">
        <v>47</v>
      </c>
      <c r="AA91" s="6" t="s">
        <v>46</v>
      </c>
      <c r="AB91" s="7">
        <f>Q91/100</f>
        <v>0.19799029999999998</v>
      </c>
      <c r="AD91" s="8"/>
      <c r="AF91" s="8"/>
      <c r="AG91" s="8"/>
    </row>
    <row r="92" spans="1:33" x14ac:dyDescent="0.2">
      <c r="A92" s="12">
        <v>5267</v>
      </c>
      <c r="B92" s="13" t="s">
        <v>35</v>
      </c>
      <c r="C92" s="13">
        <v>43346</v>
      </c>
      <c r="D92" s="5">
        <v>102</v>
      </c>
      <c r="E92" s="6" t="s">
        <v>53</v>
      </c>
      <c r="F92" s="5" t="s">
        <v>169</v>
      </c>
      <c r="G92" s="6" t="s">
        <v>168</v>
      </c>
      <c r="H92" s="5" t="str">
        <f>"000093"</f>
        <v>000093</v>
      </c>
      <c r="I92" s="4">
        <v>42541</v>
      </c>
      <c r="J92" s="5" t="str">
        <f>"000399"</f>
        <v>000399</v>
      </c>
      <c r="K92" s="4">
        <v>42825</v>
      </c>
      <c r="L92" s="5" t="str">
        <f>"001071"</f>
        <v>001071</v>
      </c>
      <c r="M92" s="4">
        <v>42825</v>
      </c>
      <c r="N92" s="5">
        <v>16</v>
      </c>
      <c r="O92" s="5" t="str">
        <f>"005473"</f>
        <v>005473</v>
      </c>
      <c r="P92" s="4">
        <v>43340</v>
      </c>
      <c r="Q92" s="7">
        <v>19.804500000000001</v>
      </c>
      <c r="R92" s="7">
        <v>3.09775</v>
      </c>
      <c r="S92" s="7">
        <v>16.70675</v>
      </c>
      <c r="T92" s="5">
        <v>193</v>
      </c>
      <c r="U92" s="4">
        <v>43346</v>
      </c>
      <c r="V92" s="5">
        <v>9900333496</v>
      </c>
      <c r="W92" s="6" t="s">
        <v>50</v>
      </c>
      <c r="X92" s="5" t="s">
        <v>123</v>
      </c>
      <c r="Y92" s="6" t="s">
        <v>122</v>
      </c>
      <c r="Z92" s="5" t="s">
        <v>47</v>
      </c>
      <c r="AA92" s="6" t="s">
        <v>46</v>
      </c>
      <c r="AB92" s="7">
        <f>Q92/100</f>
        <v>0.198045</v>
      </c>
      <c r="AD92" s="8"/>
      <c r="AF92" s="8"/>
      <c r="AG92" s="8"/>
    </row>
    <row r="93" spans="1:33" x14ac:dyDescent="0.2">
      <c r="A93" s="12">
        <v>5268</v>
      </c>
      <c r="B93" s="13" t="s">
        <v>35</v>
      </c>
      <c r="C93" s="13">
        <v>43346</v>
      </c>
      <c r="D93" s="5">
        <v>102</v>
      </c>
      <c r="E93" s="6" t="s">
        <v>53</v>
      </c>
      <c r="F93" s="5" t="s">
        <v>167</v>
      </c>
      <c r="G93" s="6" t="s">
        <v>166</v>
      </c>
      <c r="H93" s="5" t="str">
        <f>"000097"</f>
        <v>000097</v>
      </c>
      <c r="I93" s="4">
        <v>42541</v>
      </c>
      <c r="J93" s="5" t="str">
        <f>"000400"</f>
        <v>000400</v>
      </c>
      <c r="K93" s="4">
        <v>42825</v>
      </c>
      <c r="L93" s="5" t="str">
        <f>"001072"</f>
        <v>001072</v>
      </c>
      <c r="M93" s="4">
        <v>42825</v>
      </c>
      <c r="N93" s="5">
        <v>16</v>
      </c>
      <c r="O93" s="5" t="str">
        <f>"005474"</f>
        <v>005474</v>
      </c>
      <c r="P93" s="4">
        <v>43340</v>
      </c>
      <c r="Q93" s="7">
        <v>19.783819999999999</v>
      </c>
      <c r="R93" s="7">
        <v>3.1200999999999999</v>
      </c>
      <c r="S93" s="7">
        <v>16.663720000000001</v>
      </c>
      <c r="T93" s="5">
        <v>193</v>
      </c>
      <c r="U93" s="4">
        <v>43346</v>
      </c>
      <c r="V93" s="5">
        <v>9900333496</v>
      </c>
      <c r="W93" s="6" t="s">
        <v>50</v>
      </c>
      <c r="X93" s="5" t="s">
        <v>123</v>
      </c>
      <c r="Y93" s="6" t="s">
        <v>122</v>
      </c>
      <c r="Z93" s="5" t="s">
        <v>47</v>
      </c>
      <c r="AA93" s="6" t="s">
        <v>46</v>
      </c>
      <c r="AB93" s="7">
        <f>Q93/100</f>
        <v>0.19783819999999999</v>
      </c>
      <c r="AD93" s="8"/>
      <c r="AF93" s="8"/>
      <c r="AG93" s="8"/>
    </row>
    <row r="94" spans="1:33" x14ac:dyDescent="0.2">
      <c r="A94" s="12">
        <v>5269</v>
      </c>
      <c r="B94" s="13" t="s">
        <v>35</v>
      </c>
      <c r="C94" s="13">
        <v>43346</v>
      </c>
      <c r="D94" s="5">
        <v>102</v>
      </c>
      <c r="E94" s="6" t="s">
        <v>53</v>
      </c>
      <c r="F94" s="5" t="s">
        <v>165</v>
      </c>
      <c r="G94" s="6" t="s">
        <v>164</v>
      </c>
      <c r="H94" s="5" t="str">
        <f>"000095"</f>
        <v>000095</v>
      </c>
      <c r="I94" s="4">
        <v>42541</v>
      </c>
      <c r="J94" s="5" t="str">
        <f>"000401"</f>
        <v>000401</v>
      </c>
      <c r="K94" s="4">
        <v>42825</v>
      </c>
      <c r="L94" s="5" t="str">
        <f>"001073"</f>
        <v>001073</v>
      </c>
      <c r="M94" s="4">
        <v>42825</v>
      </c>
      <c r="N94" s="5">
        <v>16</v>
      </c>
      <c r="O94" s="5" t="str">
        <f>"005475"</f>
        <v>005475</v>
      </c>
      <c r="P94" s="4">
        <v>43340</v>
      </c>
      <c r="Q94" s="7">
        <v>19.777280000000001</v>
      </c>
      <c r="R94" s="7">
        <v>3.09639</v>
      </c>
      <c r="S94" s="7">
        <v>16.680890000000002</v>
      </c>
      <c r="T94" s="5">
        <v>193</v>
      </c>
      <c r="U94" s="4">
        <v>43346</v>
      </c>
      <c r="V94" s="5">
        <v>9900333496</v>
      </c>
      <c r="W94" s="6" t="s">
        <v>50</v>
      </c>
      <c r="X94" s="5" t="s">
        <v>123</v>
      </c>
      <c r="Y94" s="6" t="s">
        <v>122</v>
      </c>
      <c r="Z94" s="5" t="s">
        <v>47</v>
      </c>
      <c r="AA94" s="6" t="s">
        <v>46</v>
      </c>
      <c r="AB94" s="7">
        <f>Q94/100</f>
        <v>0.1977728</v>
      </c>
      <c r="AD94" s="8"/>
      <c r="AF94" s="8"/>
      <c r="AG94" s="8"/>
    </row>
    <row r="95" spans="1:33" x14ac:dyDescent="0.2">
      <c r="A95" s="12">
        <v>5270</v>
      </c>
      <c r="B95" s="13" t="s">
        <v>35</v>
      </c>
      <c r="C95" s="13">
        <v>43346</v>
      </c>
      <c r="D95" s="5">
        <v>102</v>
      </c>
      <c r="E95" s="6" t="s">
        <v>53</v>
      </c>
      <c r="F95" s="5" t="s">
        <v>163</v>
      </c>
      <c r="G95" s="6" t="s">
        <v>162</v>
      </c>
      <c r="H95" s="5" t="str">
        <f>"000294"</f>
        <v>000294</v>
      </c>
      <c r="I95" s="4">
        <v>42627</v>
      </c>
      <c r="J95" s="5" t="str">
        <f>"000402"</f>
        <v>000402</v>
      </c>
      <c r="K95" s="4">
        <v>42825</v>
      </c>
      <c r="L95" s="5" t="str">
        <f>"001074"</f>
        <v>001074</v>
      </c>
      <c r="M95" s="4">
        <v>42825</v>
      </c>
      <c r="N95" s="5">
        <v>17</v>
      </c>
      <c r="O95" s="5" t="str">
        <f>"005476"</f>
        <v>005476</v>
      </c>
      <c r="P95" s="4">
        <v>43340</v>
      </c>
      <c r="Q95" s="7">
        <v>19.819240000000001</v>
      </c>
      <c r="R95" s="7">
        <v>3.04406</v>
      </c>
      <c r="S95" s="7">
        <v>16.775179999999999</v>
      </c>
      <c r="T95" s="5">
        <v>193</v>
      </c>
      <c r="U95" s="4">
        <v>43346</v>
      </c>
      <c r="V95" s="5">
        <v>9900333496</v>
      </c>
      <c r="W95" s="6" t="s">
        <v>50</v>
      </c>
      <c r="X95" s="5" t="s">
        <v>161</v>
      </c>
      <c r="Y95" s="6" t="s">
        <v>160</v>
      </c>
      <c r="Z95" s="5" t="s">
        <v>47</v>
      </c>
      <c r="AA95" s="6" t="s">
        <v>46</v>
      </c>
      <c r="AB95" s="7">
        <f>Q95/100</f>
        <v>0.19819240000000002</v>
      </c>
      <c r="AD95" s="8"/>
      <c r="AF95" s="8"/>
      <c r="AG95" s="8"/>
    </row>
    <row r="96" spans="1:33" x14ac:dyDescent="0.2">
      <c r="A96" s="12">
        <v>5271</v>
      </c>
      <c r="B96" s="13" t="s">
        <v>35</v>
      </c>
      <c r="C96" s="13">
        <v>43346</v>
      </c>
      <c r="D96" s="5">
        <v>102</v>
      </c>
      <c r="E96" s="6" t="s">
        <v>53</v>
      </c>
      <c r="F96" s="5" t="s">
        <v>159</v>
      </c>
      <c r="G96" s="6" t="s">
        <v>158</v>
      </c>
      <c r="H96" s="5" t="str">
        <f>"000094"</f>
        <v>000094</v>
      </c>
      <c r="I96" s="4">
        <v>42541</v>
      </c>
      <c r="J96" s="5" t="str">
        <f>"000404"</f>
        <v>000404</v>
      </c>
      <c r="K96" s="4">
        <v>42825</v>
      </c>
      <c r="L96" s="5" t="str">
        <f>"001076"</f>
        <v>001076</v>
      </c>
      <c r="M96" s="4">
        <v>42825</v>
      </c>
      <c r="N96" s="5">
        <v>16</v>
      </c>
      <c r="O96" s="5" t="str">
        <f>"005477"</f>
        <v>005477</v>
      </c>
      <c r="P96" s="4">
        <v>43340</v>
      </c>
      <c r="Q96" s="7">
        <v>19.763480000000001</v>
      </c>
      <c r="R96" s="7">
        <v>3.0964299999999998</v>
      </c>
      <c r="S96" s="7">
        <v>16.66705</v>
      </c>
      <c r="T96" s="5">
        <v>193</v>
      </c>
      <c r="U96" s="4">
        <v>43346</v>
      </c>
      <c r="V96" s="5">
        <v>9900333496</v>
      </c>
      <c r="W96" s="6" t="s">
        <v>50</v>
      </c>
      <c r="X96" s="5" t="s">
        <v>123</v>
      </c>
      <c r="Y96" s="6" t="s">
        <v>122</v>
      </c>
      <c r="Z96" s="5" t="s">
        <v>47</v>
      </c>
      <c r="AA96" s="6" t="s">
        <v>46</v>
      </c>
      <c r="AB96" s="7">
        <f>Q96/100</f>
        <v>0.1976348</v>
      </c>
      <c r="AD96" s="8"/>
      <c r="AF96" s="8"/>
      <c r="AG96" s="8"/>
    </row>
    <row r="97" spans="1:33" x14ac:dyDescent="0.2">
      <c r="A97" s="12">
        <v>5683</v>
      </c>
      <c r="B97" s="13" t="s">
        <v>35</v>
      </c>
      <c r="C97" s="13">
        <v>43370</v>
      </c>
      <c r="D97" s="5">
        <v>102</v>
      </c>
      <c r="E97" s="6" t="s">
        <v>53</v>
      </c>
      <c r="F97" s="5" t="s">
        <v>157</v>
      </c>
      <c r="G97" s="6" t="s">
        <v>156</v>
      </c>
      <c r="H97" s="5" t="str">
        <f>"000092"</f>
        <v>000092</v>
      </c>
      <c r="I97" s="4">
        <v>42541</v>
      </c>
      <c r="J97" s="5" t="str">
        <f>"000403"</f>
        <v>000403</v>
      </c>
      <c r="K97" s="4">
        <v>42825</v>
      </c>
      <c r="L97" s="5" t="str">
        <f>"001075"</f>
        <v>001075</v>
      </c>
      <c r="M97" s="4">
        <v>42825</v>
      </c>
      <c r="N97" s="5">
        <v>16</v>
      </c>
      <c r="O97" s="5" t="str">
        <f>"005776"</f>
        <v>005776</v>
      </c>
      <c r="P97" s="4">
        <v>43360</v>
      </c>
      <c r="Q97" s="7">
        <v>19.810759999999998</v>
      </c>
      <c r="R97" s="7">
        <v>3.09728</v>
      </c>
      <c r="S97" s="7">
        <v>16.713480000000001</v>
      </c>
      <c r="T97" s="5">
        <v>216</v>
      </c>
      <c r="U97" s="4">
        <v>43370</v>
      </c>
      <c r="V97" s="5">
        <v>9900333496</v>
      </c>
      <c r="W97" s="6" t="s">
        <v>50</v>
      </c>
      <c r="X97" s="5" t="s">
        <v>123</v>
      </c>
      <c r="Y97" s="6" t="s">
        <v>122</v>
      </c>
      <c r="Z97" s="5" t="s">
        <v>47</v>
      </c>
      <c r="AA97" s="6" t="s">
        <v>46</v>
      </c>
      <c r="AB97" s="7">
        <f>Q97/100</f>
        <v>0.19810759999999999</v>
      </c>
      <c r="AD97" s="8"/>
      <c r="AF97" s="8"/>
      <c r="AG97" s="8"/>
    </row>
    <row r="98" spans="1:33" x14ac:dyDescent="0.2">
      <c r="A98" s="12">
        <v>5684</v>
      </c>
      <c r="B98" s="13" t="s">
        <v>35</v>
      </c>
      <c r="C98" s="13">
        <v>43370</v>
      </c>
      <c r="D98" s="5">
        <v>102</v>
      </c>
      <c r="E98" s="6" t="s">
        <v>53</v>
      </c>
      <c r="F98" s="5" t="s">
        <v>155</v>
      </c>
      <c r="G98" s="6" t="s">
        <v>154</v>
      </c>
      <c r="H98" s="5" t="str">
        <f>"000392"</f>
        <v>000392</v>
      </c>
      <c r="I98" s="4">
        <v>42731</v>
      </c>
      <c r="J98" s="5" t="str">
        <f>"000002"</f>
        <v>000002</v>
      </c>
      <c r="K98" s="4">
        <v>42842</v>
      </c>
      <c r="L98" s="5" t="str">
        <f>"000018"</f>
        <v>000018</v>
      </c>
      <c r="M98" s="4">
        <v>42850</v>
      </c>
      <c r="N98" s="5">
        <v>17</v>
      </c>
      <c r="O98" s="5" t="str">
        <f>"005863"</f>
        <v>005863</v>
      </c>
      <c r="P98" s="4">
        <v>43363</v>
      </c>
      <c r="Q98" s="7">
        <v>19.71312</v>
      </c>
      <c r="R98" s="7">
        <v>3.1091199999999999</v>
      </c>
      <c r="S98" s="7">
        <v>16.603999999999999</v>
      </c>
      <c r="T98" s="5">
        <v>217</v>
      </c>
      <c r="U98" s="4">
        <v>43370</v>
      </c>
      <c r="V98" s="5">
        <v>9900333496</v>
      </c>
      <c r="W98" s="6" t="s">
        <v>66</v>
      </c>
      <c r="X98" s="5" t="s">
        <v>49</v>
      </c>
      <c r="Y98" s="6" t="s">
        <v>48</v>
      </c>
      <c r="Z98" s="5" t="s">
        <v>47</v>
      </c>
      <c r="AA98" s="6" t="s">
        <v>46</v>
      </c>
      <c r="AB98" s="7">
        <f>Q98/100</f>
        <v>0.19713120000000001</v>
      </c>
      <c r="AD98" s="8"/>
      <c r="AF98" s="8"/>
      <c r="AG98" s="8"/>
    </row>
    <row r="99" spans="1:33" x14ac:dyDescent="0.2">
      <c r="A99" s="12">
        <v>5685</v>
      </c>
      <c r="B99" s="13" t="s">
        <v>35</v>
      </c>
      <c r="C99" s="13">
        <v>43370</v>
      </c>
      <c r="D99" s="5">
        <v>102</v>
      </c>
      <c r="E99" s="6" t="s">
        <v>53</v>
      </c>
      <c r="F99" s="5" t="s">
        <v>153</v>
      </c>
      <c r="G99" s="6" t="s">
        <v>152</v>
      </c>
      <c r="H99" s="5" t="str">
        <f>"000393"</f>
        <v>000393</v>
      </c>
      <c r="I99" s="4">
        <v>42731</v>
      </c>
      <c r="J99" s="5" t="str">
        <f>"000003"</f>
        <v>000003</v>
      </c>
      <c r="K99" s="4">
        <v>42842</v>
      </c>
      <c r="L99" s="5" t="str">
        <f>"000019"</f>
        <v>000019</v>
      </c>
      <c r="M99" s="4">
        <v>42850</v>
      </c>
      <c r="N99" s="5">
        <v>17</v>
      </c>
      <c r="O99" s="5" t="str">
        <f>"005864"</f>
        <v>005864</v>
      </c>
      <c r="P99" s="4">
        <v>43363</v>
      </c>
      <c r="Q99" s="7">
        <v>19.84863</v>
      </c>
      <c r="R99" s="7">
        <v>3.1728700000000001</v>
      </c>
      <c r="S99" s="7">
        <v>16.67576</v>
      </c>
      <c r="T99" s="5">
        <v>217</v>
      </c>
      <c r="U99" s="4">
        <v>43370</v>
      </c>
      <c r="V99" s="5">
        <v>9900333496</v>
      </c>
      <c r="W99" s="6" t="s">
        <v>66</v>
      </c>
      <c r="X99" s="5" t="s">
        <v>49</v>
      </c>
      <c r="Y99" s="6" t="s">
        <v>48</v>
      </c>
      <c r="Z99" s="5" t="s">
        <v>47</v>
      </c>
      <c r="AA99" s="6" t="s">
        <v>46</v>
      </c>
      <c r="AB99" s="7">
        <f>Q99/100</f>
        <v>0.1984863</v>
      </c>
      <c r="AD99" s="8"/>
      <c r="AF99" s="8"/>
      <c r="AG99" s="8"/>
    </row>
    <row r="100" spans="1:33" x14ac:dyDescent="0.2">
      <c r="A100" s="12">
        <v>5686</v>
      </c>
      <c r="B100" s="13" t="s">
        <v>35</v>
      </c>
      <c r="C100" s="13">
        <v>43370</v>
      </c>
      <c r="D100" s="5">
        <v>102</v>
      </c>
      <c r="E100" s="6" t="s">
        <v>53</v>
      </c>
      <c r="F100" s="5" t="s">
        <v>151</v>
      </c>
      <c r="G100" s="6" t="s">
        <v>150</v>
      </c>
      <c r="H100" s="5" t="str">
        <f>"000035"</f>
        <v>000035</v>
      </c>
      <c r="I100" s="4">
        <v>42770</v>
      </c>
      <c r="J100" s="5" t="str">
        <f>"000013"</f>
        <v>000013</v>
      </c>
      <c r="K100" s="4">
        <v>42944</v>
      </c>
      <c r="L100" s="5" t="str">
        <f>"000005"</f>
        <v>000005</v>
      </c>
      <c r="M100" s="4">
        <v>42948</v>
      </c>
      <c r="N100" s="5">
        <v>17</v>
      </c>
      <c r="O100" s="5" t="str">
        <f>"005825"</f>
        <v>005825</v>
      </c>
      <c r="P100" s="4">
        <v>43362</v>
      </c>
      <c r="Q100" s="7">
        <v>19.98724</v>
      </c>
      <c r="R100" s="7">
        <v>2.4684400000000002</v>
      </c>
      <c r="S100" s="7">
        <v>17.518799999999999</v>
      </c>
      <c r="T100" s="5">
        <v>219</v>
      </c>
      <c r="U100" s="4">
        <v>43370</v>
      </c>
      <c r="V100" s="5">
        <v>9590281209</v>
      </c>
      <c r="W100" s="6" t="s">
        <v>149</v>
      </c>
      <c r="X100" s="5" t="s">
        <v>49</v>
      </c>
      <c r="Y100" s="6" t="s">
        <v>48</v>
      </c>
      <c r="Z100" s="5" t="s">
        <v>148</v>
      </c>
      <c r="AA100" s="6" t="s">
        <v>147</v>
      </c>
      <c r="AB100" s="7">
        <f>Q100/100</f>
        <v>0.19987240000000001</v>
      </c>
      <c r="AD100" s="8"/>
      <c r="AF100" s="8"/>
      <c r="AG100" s="8"/>
    </row>
    <row r="101" spans="1:33" x14ac:dyDescent="0.2">
      <c r="A101" s="12">
        <v>5687</v>
      </c>
      <c r="B101" s="13" t="s">
        <v>35</v>
      </c>
      <c r="C101" s="13">
        <v>43370</v>
      </c>
      <c r="D101" s="5">
        <v>102</v>
      </c>
      <c r="E101" s="6" t="s">
        <v>53</v>
      </c>
      <c r="F101" s="5" t="s">
        <v>146</v>
      </c>
      <c r="G101" s="6" t="s">
        <v>145</v>
      </c>
      <c r="H101" s="5" t="str">
        <f>"440000"</f>
        <v>440000</v>
      </c>
      <c r="I101" s="4">
        <v>42539</v>
      </c>
      <c r="J101" s="5" t="str">
        <f>"000005"</f>
        <v>000005</v>
      </c>
      <c r="K101" s="4">
        <v>42952</v>
      </c>
      <c r="L101" s="5" t="str">
        <f>"000009"</f>
        <v>000009</v>
      </c>
      <c r="M101" s="4">
        <v>42952</v>
      </c>
      <c r="N101" s="5">
        <v>16</v>
      </c>
      <c r="O101" s="5" t="str">
        <f>"005826"</f>
        <v>005826</v>
      </c>
      <c r="P101" s="4">
        <v>43362</v>
      </c>
      <c r="Q101" s="7">
        <v>8.4229699999999994</v>
      </c>
      <c r="R101" s="7">
        <v>0.97282999999999997</v>
      </c>
      <c r="S101" s="7">
        <v>7.4501400000000002</v>
      </c>
      <c r="T101" s="5">
        <v>219</v>
      </c>
      <c r="U101" s="4">
        <v>43370</v>
      </c>
      <c r="V101" s="5">
        <v>9945299158</v>
      </c>
      <c r="W101" s="6" t="s">
        <v>144</v>
      </c>
      <c r="X101" s="5" t="s">
        <v>31</v>
      </c>
      <c r="Y101" s="6" t="s">
        <v>32</v>
      </c>
      <c r="Z101" s="5" t="s">
        <v>47</v>
      </c>
      <c r="AA101" s="6" t="s">
        <v>46</v>
      </c>
      <c r="AB101" s="7">
        <f>Q101/100</f>
        <v>8.4229699999999991E-2</v>
      </c>
      <c r="AD101" s="8"/>
      <c r="AF101" s="8"/>
      <c r="AG101" s="8"/>
    </row>
    <row r="102" spans="1:33" x14ac:dyDescent="0.2">
      <c r="A102" s="12">
        <v>5688</v>
      </c>
      <c r="B102" s="13" t="s">
        <v>35</v>
      </c>
      <c r="C102" s="13">
        <v>43370</v>
      </c>
      <c r="D102" s="5">
        <v>102</v>
      </c>
      <c r="E102" s="6" t="s">
        <v>53</v>
      </c>
      <c r="F102" s="5" t="s">
        <v>143</v>
      </c>
      <c r="G102" s="6" t="s">
        <v>142</v>
      </c>
      <c r="H102" s="5" t="str">
        <f>"000097"</f>
        <v>000097</v>
      </c>
      <c r="I102" s="4">
        <v>42913</v>
      </c>
      <c r="J102" s="5" t="str">
        <f>"000016"</f>
        <v>000016</v>
      </c>
      <c r="K102" s="4">
        <v>42984</v>
      </c>
      <c r="L102" s="5" t="str">
        <f>"000032"</f>
        <v>000032</v>
      </c>
      <c r="M102" s="4">
        <v>42984</v>
      </c>
      <c r="N102" s="5">
        <v>17</v>
      </c>
      <c r="O102" s="5" t="str">
        <f>"005830"</f>
        <v>005830</v>
      </c>
      <c r="P102" s="4">
        <v>43362</v>
      </c>
      <c r="Q102" s="7">
        <v>14.86327</v>
      </c>
      <c r="R102" s="7">
        <v>1.9484600000000001</v>
      </c>
      <c r="S102" s="7">
        <v>12.914809999999999</v>
      </c>
      <c r="T102" s="5">
        <v>219</v>
      </c>
      <c r="U102" s="4">
        <v>43370</v>
      </c>
      <c r="V102" s="5">
        <v>9900333496</v>
      </c>
      <c r="W102" s="6" t="s">
        <v>66</v>
      </c>
      <c r="X102" s="5" t="s">
        <v>139</v>
      </c>
      <c r="Y102" s="6" t="s">
        <v>138</v>
      </c>
      <c r="Z102" s="5" t="s">
        <v>47</v>
      </c>
      <c r="AA102" s="6" t="s">
        <v>46</v>
      </c>
      <c r="AB102" s="7">
        <f>Q102/100</f>
        <v>0.14863270000000001</v>
      </c>
      <c r="AD102" s="8"/>
      <c r="AF102" s="8"/>
      <c r="AG102" s="8"/>
    </row>
    <row r="103" spans="1:33" x14ac:dyDescent="0.2">
      <c r="A103" s="12">
        <v>5689</v>
      </c>
      <c r="B103" s="13" t="s">
        <v>35</v>
      </c>
      <c r="C103" s="13">
        <v>43370</v>
      </c>
      <c r="D103" s="5">
        <v>102</v>
      </c>
      <c r="E103" s="6" t="s">
        <v>53</v>
      </c>
      <c r="F103" s="5" t="s">
        <v>141</v>
      </c>
      <c r="G103" s="6" t="s">
        <v>140</v>
      </c>
      <c r="H103" s="5" t="str">
        <f>"000092"</f>
        <v>000092</v>
      </c>
      <c r="I103" s="4">
        <v>42913</v>
      </c>
      <c r="J103" s="5" t="str">
        <f>"000017"</f>
        <v>000017</v>
      </c>
      <c r="K103" s="4">
        <v>42984</v>
      </c>
      <c r="L103" s="5" t="str">
        <f>"000033"</f>
        <v>000033</v>
      </c>
      <c r="M103" s="4">
        <v>42984</v>
      </c>
      <c r="N103" s="5">
        <v>17</v>
      </c>
      <c r="O103" s="5" t="str">
        <f>"005831"</f>
        <v>005831</v>
      </c>
      <c r="P103" s="4">
        <v>43362</v>
      </c>
      <c r="Q103" s="7">
        <v>14.851419999999999</v>
      </c>
      <c r="R103" s="7">
        <v>2.0198499999999999</v>
      </c>
      <c r="S103" s="7">
        <v>12.831569999999999</v>
      </c>
      <c r="T103" s="5">
        <v>219</v>
      </c>
      <c r="U103" s="4">
        <v>43370</v>
      </c>
      <c r="V103" s="5">
        <v>9900333496</v>
      </c>
      <c r="W103" s="6" t="s">
        <v>66</v>
      </c>
      <c r="X103" s="5" t="s">
        <v>139</v>
      </c>
      <c r="Y103" s="6" t="s">
        <v>138</v>
      </c>
      <c r="Z103" s="5" t="s">
        <v>47</v>
      </c>
      <c r="AA103" s="6" t="s">
        <v>46</v>
      </c>
      <c r="AB103" s="7">
        <f>Q103/100</f>
        <v>0.14851419999999999</v>
      </c>
      <c r="AD103" s="8"/>
      <c r="AF103" s="8"/>
      <c r="AG103" s="8"/>
    </row>
    <row r="104" spans="1:33" x14ac:dyDescent="0.2">
      <c r="A104" s="12">
        <v>6125</v>
      </c>
      <c r="B104" s="13" t="s">
        <v>39</v>
      </c>
      <c r="C104" s="13">
        <v>43385</v>
      </c>
      <c r="D104" s="5">
        <v>102</v>
      </c>
      <c r="E104" s="6" t="s">
        <v>53</v>
      </c>
      <c r="F104" s="5" t="s">
        <v>121</v>
      </c>
      <c r="G104" s="6" t="s">
        <v>120</v>
      </c>
      <c r="H104" s="5" t="str">
        <f>"000309"</f>
        <v>000309</v>
      </c>
      <c r="I104" s="4">
        <v>43159</v>
      </c>
      <c r="J104" s="5" t="str">
        <f>"000155"</f>
        <v>000155</v>
      </c>
      <c r="K104" s="4">
        <v>43460</v>
      </c>
      <c r="L104" s="5" t="str">
        <f>"000421"</f>
        <v>000421</v>
      </c>
      <c r="M104" s="4">
        <v>43461</v>
      </c>
      <c r="N104" s="5">
        <v>17</v>
      </c>
      <c r="O104" s="5" t="str">
        <f>""</f>
        <v/>
      </c>
      <c r="P104" s="4"/>
      <c r="Q104" s="7">
        <v>49.78472</v>
      </c>
      <c r="R104" s="7">
        <v>1.91832</v>
      </c>
      <c r="S104" s="7">
        <v>47.866399999999999</v>
      </c>
      <c r="T104" s="5">
        <v>228</v>
      </c>
      <c r="U104" s="4">
        <v>43385</v>
      </c>
      <c r="V104" s="5">
        <v>0</v>
      </c>
      <c r="W104" s="6" t="s">
        <v>119</v>
      </c>
      <c r="X104" s="5" t="s">
        <v>28</v>
      </c>
      <c r="Y104" s="6" t="s">
        <v>29</v>
      </c>
      <c r="Z104" s="5" t="s">
        <v>47</v>
      </c>
      <c r="AA104" s="6" t="s">
        <v>46</v>
      </c>
      <c r="AB104" s="7">
        <f>Q104/100</f>
        <v>0.49784719999999999</v>
      </c>
      <c r="AD104" s="8"/>
      <c r="AF104" s="8"/>
      <c r="AG104" s="8"/>
    </row>
    <row r="105" spans="1:33" x14ac:dyDescent="0.2">
      <c r="A105" s="12">
        <v>6126</v>
      </c>
      <c r="B105" s="13" t="s">
        <v>39</v>
      </c>
      <c r="C105" s="13">
        <v>43385</v>
      </c>
      <c r="D105" s="5">
        <v>102</v>
      </c>
      <c r="E105" s="6" t="s">
        <v>53</v>
      </c>
      <c r="F105" s="5" t="s">
        <v>121</v>
      </c>
      <c r="G105" s="6" t="s">
        <v>120</v>
      </c>
      <c r="H105" s="5" t="str">
        <f>"000309"</f>
        <v>000309</v>
      </c>
      <c r="I105" s="4">
        <v>43159</v>
      </c>
      <c r="J105" s="5" t="str">
        <f>"000155"</f>
        <v>000155</v>
      </c>
      <c r="K105" s="4">
        <v>43460</v>
      </c>
      <c r="L105" s="5" t="str">
        <f>"000421"</f>
        <v>000421</v>
      </c>
      <c r="M105" s="4">
        <v>43461</v>
      </c>
      <c r="N105" s="5">
        <v>17</v>
      </c>
      <c r="O105" s="5" t="str">
        <f>""</f>
        <v/>
      </c>
      <c r="P105" s="4"/>
      <c r="Q105" s="7">
        <v>49.849899999999998</v>
      </c>
      <c r="R105" s="7">
        <v>2.09335</v>
      </c>
      <c r="S105" s="7">
        <v>47.756549999999997</v>
      </c>
      <c r="T105" s="5">
        <v>228</v>
      </c>
      <c r="U105" s="4">
        <v>43385</v>
      </c>
      <c r="V105" s="5">
        <v>0</v>
      </c>
      <c r="W105" s="6" t="s">
        <v>119</v>
      </c>
      <c r="X105" s="5" t="s">
        <v>28</v>
      </c>
      <c r="Y105" s="6" t="s">
        <v>29</v>
      </c>
      <c r="Z105" s="5" t="s">
        <v>47</v>
      </c>
      <c r="AA105" s="6" t="s">
        <v>46</v>
      </c>
      <c r="AB105" s="7">
        <f>Q105/100</f>
        <v>0.49849899999999997</v>
      </c>
      <c r="AD105" s="8"/>
      <c r="AF105" s="8"/>
      <c r="AG105" s="8"/>
    </row>
    <row r="106" spans="1:33" x14ac:dyDescent="0.2">
      <c r="A106" s="12">
        <v>6127</v>
      </c>
      <c r="B106" s="13" t="s">
        <v>39</v>
      </c>
      <c r="C106" s="13">
        <v>43385</v>
      </c>
      <c r="D106" s="5">
        <v>102</v>
      </c>
      <c r="E106" s="6" t="s">
        <v>53</v>
      </c>
      <c r="F106" s="5" t="s">
        <v>121</v>
      </c>
      <c r="G106" s="6" t="s">
        <v>120</v>
      </c>
      <c r="H106" s="5" t="str">
        <f>"000309"</f>
        <v>000309</v>
      </c>
      <c r="I106" s="4">
        <v>43159</v>
      </c>
      <c r="J106" s="5" t="str">
        <f>"000155"</f>
        <v>000155</v>
      </c>
      <c r="K106" s="4">
        <v>43460</v>
      </c>
      <c r="L106" s="5" t="str">
        <f>"000421"</f>
        <v>000421</v>
      </c>
      <c r="M106" s="4">
        <v>43461</v>
      </c>
      <c r="N106" s="5">
        <v>17</v>
      </c>
      <c r="O106" s="5" t="str">
        <f>""</f>
        <v/>
      </c>
      <c r="P106" s="4"/>
      <c r="Q106" s="7">
        <v>49.78472</v>
      </c>
      <c r="R106" s="7">
        <v>1.91832</v>
      </c>
      <c r="S106" s="7">
        <v>47.866399999999999</v>
      </c>
      <c r="T106" s="5">
        <v>228</v>
      </c>
      <c r="U106" s="4">
        <v>43385</v>
      </c>
      <c r="V106" s="5">
        <v>0</v>
      </c>
      <c r="W106" s="6" t="s">
        <v>119</v>
      </c>
      <c r="X106" s="5" t="s">
        <v>28</v>
      </c>
      <c r="Y106" s="6" t="s">
        <v>29</v>
      </c>
      <c r="Z106" s="5" t="s">
        <v>47</v>
      </c>
      <c r="AA106" s="6" t="s">
        <v>46</v>
      </c>
      <c r="AB106" s="7">
        <f>Q106/100</f>
        <v>0.49784719999999999</v>
      </c>
      <c r="AD106" s="8"/>
      <c r="AF106" s="8"/>
      <c r="AG106" s="8"/>
    </row>
    <row r="107" spans="1:33" x14ac:dyDescent="0.2">
      <c r="A107" s="12">
        <v>6128</v>
      </c>
      <c r="B107" s="13" t="s">
        <v>39</v>
      </c>
      <c r="C107" s="13">
        <v>43385</v>
      </c>
      <c r="D107" s="5">
        <v>102</v>
      </c>
      <c r="E107" s="6" t="s">
        <v>53</v>
      </c>
      <c r="F107" s="5" t="s">
        <v>121</v>
      </c>
      <c r="G107" s="6" t="s">
        <v>120</v>
      </c>
      <c r="H107" s="5" t="str">
        <f>"000309"</f>
        <v>000309</v>
      </c>
      <c r="I107" s="4">
        <v>43159</v>
      </c>
      <c r="J107" s="5" t="str">
        <f>"000155"</f>
        <v>000155</v>
      </c>
      <c r="K107" s="4">
        <v>43460</v>
      </c>
      <c r="L107" s="5" t="str">
        <f>"000421"</f>
        <v>000421</v>
      </c>
      <c r="M107" s="4">
        <v>43461</v>
      </c>
      <c r="N107" s="5">
        <v>17</v>
      </c>
      <c r="O107" s="5" t="str">
        <f>""</f>
        <v/>
      </c>
      <c r="P107" s="4"/>
      <c r="Q107" s="7">
        <v>49.849899999999998</v>
      </c>
      <c r="R107" s="7">
        <v>2.09335</v>
      </c>
      <c r="S107" s="7">
        <v>47.756549999999997</v>
      </c>
      <c r="T107" s="5">
        <v>228</v>
      </c>
      <c r="U107" s="4">
        <v>43385</v>
      </c>
      <c r="V107" s="5">
        <v>0</v>
      </c>
      <c r="W107" s="6" t="s">
        <v>119</v>
      </c>
      <c r="X107" s="5" t="s">
        <v>28</v>
      </c>
      <c r="Y107" s="6" t="s">
        <v>29</v>
      </c>
      <c r="Z107" s="5" t="s">
        <v>47</v>
      </c>
      <c r="AA107" s="6" t="s">
        <v>46</v>
      </c>
      <c r="AB107" s="7">
        <f>Q107/100</f>
        <v>0.49849899999999997</v>
      </c>
      <c r="AD107" s="8"/>
      <c r="AF107" s="8"/>
      <c r="AG107" s="8"/>
    </row>
    <row r="108" spans="1:33" x14ac:dyDescent="0.2">
      <c r="A108" s="12">
        <v>6129</v>
      </c>
      <c r="B108" s="13" t="s">
        <v>39</v>
      </c>
      <c r="C108" s="13">
        <v>43385</v>
      </c>
      <c r="D108" s="5">
        <v>102</v>
      </c>
      <c r="E108" s="6" t="s">
        <v>53</v>
      </c>
      <c r="F108" s="5" t="s">
        <v>137</v>
      </c>
      <c r="G108" s="6" t="s">
        <v>136</v>
      </c>
      <c r="H108" s="5" t="str">
        <f>"000395"</f>
        <v>000395</v>
      </c>
      <c r="I108" s="4">
        <v>42731</v>
      </c>
      <c r="J108" s="5" t="str">
        <f>"000045"</f>
        <v>000045</v>
      </c>
      <c r="K108" s="4">
        <v>42844</v>
      </c>
      <c r="L108" s="5" t="str">
        <f>"000020"</f>
        <v>000020</v>
      </c>
      <c r="M108" s="4">
        <v>42853</v>
      </c>
      <c r="N108" s="5">
        <v>17</v>
      </c>
      <c r="O108" s="5" t="str">
        <f>"006007"</f>
        <v>006007</v>
      </c>
      <c r="P108" s="4">
        <v>43374</v>
      </c>
      <c r="Q108" s="7">
        <v>19.928460000000001</v>
      </c>
      <c r="R108" s="7">
        <v>2.9254500000000001</v>
      </c>
      <c r="S108" s="7">
        <v>17.00301</v>
      </c>
      <c r="T108" s="5">
        <v>230</v>
      </c>
      <c r="U108" s="4">
        <v>43385</v>
      </c>
      <c r="V108" s="5">
        <v>9900333496</v>
      </c>
      <c r="W108" s="6" t="s">
        <v>43</v>
      </c>
      <c r="X108" s="5" t="s">
        <v>49</v>
      </c>
      <c r="Y108" s="6" t="s">
        <v>48</v>
      </c>
      <c r="Z108" s="5" t="s">
        <v>47</v>
      </c>
      <c r="AA108" s="6" t="s">
        <v>46</v>
      </c>
      <c r="AB108" s="7">
        <f>Q108/100</f>
        <v>0.19928460000000001</v>
      </c>
      <c r="AD108" s="8"/>
      <c r="AF108" s="8"/>
      <c r="AG108" s="8"/>
    </row>
    <row r="109" spans="1:33" x14ac:dyDescent="0.2">
      <c r="A109" s="12">
        <v>6130</v>
      </c>
      <c r="B109" s="13" t="s">
        <v>39</v>
      </c>
      <c r="C109" s="13">
        <v>43385</v>
      </c>
      <c r="D109" s="5">
        <v>102</v>
      </c>
      <c r="E109" s="6" t="s">
        <v>53</v>
      </c>
      <c r="F109" s="5" t="s">
        <v>135</v>
      </c>
      <c r="G109" s="6" t="s">
        <v>134</v>
      </c>
      <c r="H109" s="5" t="str">
        <f>"000452"</f>
        <v>000452</v>
      </c>
      <c r="I109" s="4">
        <v>42798</v>
      </c>
      <c r="J109" s="5" t="str">
        <f>"000001"</f>
        <v>000001</v>
      </c>
      <c r="K109" s="4">
        <v>42842</v>
      </c>
      <c r="L109" s="5" t="str">
        <f>"000038"</f>
        <v>000038</v>
      </c>
      <c r="M109" s="4">
        <v>42853</v>
      </c>
      <c r="N109" s="5">
        <v>17</v>
      </c>
      <c r="O109" s="5" t="str">
        <f>"006039"</f>
        <v>006039</v>
      </c>
      <c r="P109" s="4">
        <v>43374</v>
      </c>
      <c r="Q109" s="7">
        <v>17.025870000000001</v>
      </c>
      <c r="R109" s="7">
        <v>1.4114800000000001</v>
      </c>
      <c r="S109" s="7">
        <v>15.61439</v>
      </c>
      <c r="T109" s="5">
        <v>230</v>
      </c>
      <c r="U109" s="4">
        <v>43385</v>
      </c>
      <c r="V109" s="5">
        <v>9590281209</v>
      </c>
      <c r="W109" s="6" t="s">
        <v>133</v>
      </c>
      <c r="X109" s="5" t="s">
        <v>31</v>
      </c>
      <c r="Y109" s="6" t="s">
        <v>32</v>
      </c>
      <c r="Z109" s="5" t="s">
        <v>47</v>
      </c>
      <c r="AA109" s="6" t="s">
        <v>46</v>
      </c>
      <c r="AB109" s="7">
        <f>Q109/100</f>
        <v>0.17025870000000001</v>
      </c>
      <c r="AD109" s="8"/>
      <c r="AF109" s="8"/>
      <c r="AG109" s="8"/>
    </row>
    <row r="110" spans="1:33" x14ac:dyDescent="0.2">
      <c r="A110" s="12">
        <v>6131</v>
      </c>
      <c r="B110" s="13" t="s">
        <v>39</v>
      </c>
      <c r="C110" s="13">
        <v>43385</v>
      </c>
      <c r="D110" s="5">
        <v>102</v>
      </c>
      <c r="E110" s="6" t="s">
        <v>53</v>
      </c>
      <c r="F110" s="5" t="s">
        <v>132</v>
      </c>
      <c r="G110" s="6" t="s">
        <v>131</v>
      </c>
      <c r="H110" s="5" t="str">
        <f>"000465"</f>
        <v>000465</v>
      </c>
      <c r="I110" s="4">
        <v>42802</v>
      </c>
      <c r="J110" s="5" t="str">
        <f>"000019"</f>
        <v>000019</v>
      </c>
      <c r="K110" s="4">
        <v>42853</v>
      </c>
      <c r="L110" s="5" t="str">
        <f>"000060"</f>
        <v>000060</v>
      </c>
      <c r="M110" s="4">
        <v>42853</v>
      </c>
      <c r="N110" s="5">
        <v>17</v>
      </c>
      <c r="O110" s="5" t="str">
        <f>"006044"</f>
        <v>006044</v>
      </c>
      <c r="P110" s="4">
        <v>43374</v>
      </c>
      <c r="Q110" s="7">
        <v>8.8061399999999992</v>
      </c>
      <c r="R110" s="7">
        <v>0.76446000000000003</v>
      </c>
      <c r="S110" s="7">
        <v>8.0416799999999995</v>
      </c>
      <c r="T110" s="5">
        <v>230</v>
      </c>
      <c r="U110" s="4">
        <v>43385</v>
      </c>
      <c r="V110" s="5">
        <v>9880403889</v>
      </c>
      <c r="W110" s="6" t="s">
        <v>130</v>
      </c>
      <c r="X110" s="5" t="s">
        <v>31</v>
      </c>
      <c r="Y110" s="6" t="s">
        <v>32</v>
      </c>
      <c r="Z110" s="5" t="s">
        <v>47</v>
      </c>
      <c r="AA110" s="6" t="s">
        <v>46</v>
      </c>
      <c r="AB110" s="7">
        <f>Q110/100</f>
        <v>8.8061399999999998E-2</v>
      </c>
      <c r="AD110" s="8"/>
      <c r="AF110" s="8"/>
      <c r="AG110" s="8"/>
    </row>
    <row r="111" spans="1:33" x14ac:dyDescent="0.2">
      <c r="A111" s="12">
        <v>6132</v>
      </c>
      <c r="B111" s="13" t="s">
        <v>39</v>
      </c>
      <c r="C111" s="13">
        <v>43385</v>
      </c>
      <c r="D111" s="5">
        <v>102</v>
      </c>
      <c r="E111" s="6" t="s">
        <v>53</v>
      </c>
      <c r="F111" s="5" t="s">
        <v>129</v>
      </c>
      <c r="G111" s="6" t="s">
        <v>128</v>
      </c>
      <c r="H111" s="5" t="str">
        <f>"000500"</f>
        <v>000500</v>
      </c>
      <c r="I111" s="4">
        <v>42808</v>
      </c>
      <c r="J111" s="5" t="str">
        <f>"000021"</f>
        <v>000021</v>
      </c>
      <c r="K111" s="4">
        <v>42853</v>
      </c>
      <c r="L111" s="5" t="str">
        <f>"000061"</f>
        <v>000061</v>
      </c>
      <c r="M111" s="4">
        <v>42853</v>
      </c>
      <c r="N111" s="5">
        <v>17</v>
      </c>
      <c r="O111" s="5" t="str">
        <f>"006046"</f>
        <v>006046</v>
      </c>
      <c r="P111" s="4">
        <v>43374</v>
      </c>
      <c r="Q111" s="7">
        <v>19.794280000000001</v>
      </c>
      <c r="R111" s="7">
        <v>2.8185500000000001</v>
      </c>
      <c r="S111" s="7">
        <v>16.975729999999999</v>
      </c>
      <c r="T111" s="5">
        <v>230</v>
      </c>
      <c r="U111" s="4">
        <v>43385</v>
      </c>
      <c r="V111" s="5">
        <v>9900333496</v>
      </c>
      <c r="W111" s="6" t="s">
        <v>50</v>
      </c>
      <c r="X111" s="5" t="s">
        <v>123</v>
      </c>
      <c r="Y111" s="6" t="s">
        <v>122</v>
      </c>
      <c r="Z111" s="5" t="s">
        <v>47</v>
      </c>
      <c r="AA111" s="6" t="s">
        <v>46</v>
      </c>
      <c r="AB111" s="7">
        <f>Q111/100</f>
        <v>0.1979428</v>
      </c>
      <c r="AD111" s="8"/>
      <c r="AF111" s="8"/>
      <c r="AG111" s="8"/>
    </row>
    <row r="112" spans="1:33" x14ac:dyDescent="0.2">
      <c r="A112" s="12">
        <v>6133</v>
      </c>
      <c r="B112" s="13" t="s">
        <v>39</v>
      </c>
      <c r="C112" s="13">
        <v>43385</v>
      </c>
      <c r="D112" s="5">
        <v>102</v>
      </c>
      <c r="E112" s="6" t="s">
        <v>53</v>
      </c>
      <c r="F112" s="5" t="s">
        <v>127</v>
      </c>
      <c r="G112" s="6" t="s">
        <v>126</v>
      </c>
      <c r="H112" s="5" t="str">
        <f>"000503"</f>
        <v>000503</v>
      </c>
      <c r="I112" s="4">
        <v>42808</v>
      </c>
      <c r="J112" s="5" t="str">
        <f>"000020"</f>
        <v>000020</v>
      </c>
      <c r="K112" s="4">
        <v>42853</v>
      </c>
      <c r="L112" s="5" t="str">
        <f>"000062"</f>
        <v>000062</v>
      </c>
      <c r="M112" s="4">
        <v>42853</v>
      </c>
      <c r="N112" s="5">
        <v>17</v>
      </c>
      <c r="O112" s="5" t="str">
        <f>"006047"</f>
        <v>006047</v>
      </c>
      <c r="P112" s="4">
        <v>43374</v>
      </c>
      <c r="Q112" s="7">
        <v>14.80885</v>
      </c>
      <c r="R112" s="7">
        <v>2.0980099999999999</v>
      </c>
      <c r="S112" s="7">
        <v>12.710839999999999</v>
      </c>
      <c r="T112" s="5">
        <v>230</v>
      </c>
      <c r="U112" s="4">
        <v>43385</v>
      </c>
      <c r="V112" s="5">
        <v>9900333496</v>
      </c>
      <c r="W112" s="6" t="s">
        <v>50</v>
      </c>
      <c r="X112" s="5" t="s">
        <v>123</v>
      </c>
      <c r="Y112" s="6" t="s">
        <v>122</v>
      </c>
      <c r="Z112" s="5" t="s">
        <v>47</v>
      </c>
      <c r="AA112" s="6" t="s">
        <v>46</v>
      </c>
      <c r="AB112" s="7">
        <f>Q112/100</f>
        <v>0.14808849999999998</v>
      </c>
      <c r="AD112" s="8"/>
      <c r="AF112" s="8"/>
      <c r="AG112" s="8"/>
    </row>
    <row r="113" spans="1:33" x14ac:dyDescent="0.2">
      <c r="A113" s="12">
        <v>6134</v>
      </c>
      <c r="B113" s="13" t="s">
        <v>39</v>
      </c>
      <c r="C113" s="13">
        <v>43385</v>
      </c>
      <c r="D113" s="5">
        <v>102</v>
      </c>
      <c r="E113" s="6" t="s">
        <v>53</v>
      </c>
      <c r="F113" s="5" t="s">
        <v>125</v>
      </c>
      <c r="G113" s="6" t="s">
        <v>124</v>
      </c>
      <c r="H113" s="5" t="str">
        <f>"000504"</f>
        <v>000504</v>
      </c>
      <c r="I113" s="4">
        <v>42808</v>
      </c>
      <c r="J113" s="5" t="str">
        <f>"000022"</f>
        <v>000022</v>
      </c>
      <c r="K113" s="4">
        <v>42853</v>
      </c>
      <c r="L113" s="5" t="str">
        <f>"000063"</f>
        <v>000063</v>
      </c>
      <c r="M113" s="4">
        <v>42853</v>
      </c>
      <c r="N113" s="5">
        <v>17</v>
      </c>
      <c r="O113" s="5" t="str">
        <f>"006048"</f>
        <v>006048</v>
      </c>
      <c r="P113" s="4">
        <v>43374</v>
      </c>
      <c r="Q113" s="7">
        <v>14.849880000000001</v>
      </c>
      <c r="R113" s="7">
        <v>2.0743200000000002</v>
      </c>
      <c r="S113" s="7">
        <v>12.77556</v>
      </c>
      <c r="T113" s="5">
        <v>230</v>
      </c>
      <c r="U113" s="4">
        <v>43385</v>
      </c>
      <c r="V113" s="5">
        <v>9900333496</v>
      </c>
      <c r="W113" s="6" t="s">
        <v>50</v>
      </c>
      <c r="X113" s="5" t="s">
        <v>123</v>
      </c>
      <c r="Y113" s="6" t="s">
        <v>122</v>
      </c>
      <c r="Z113" s="5" t="s">
        <v>47</v>
      </c>
      <c r="AA113" s="6" t="s">
        <v>46</v>
      </c>
      <c r="AB113" s="7">
        <f>Q113/100</f>
        <v>0.14849880000000001</v>
      </c>
      <c r="AD113" s="8"/>
      <c r="AF113" s="8"/>
      <c r="AG113" s="8"/>
    </row>
    <row r="114" spans="1:33" x14ac:dyDescent="0.2">
      <c r="A114" s="12">
        <v>6135</v>
      </c>
      <c r="B114" s="13" t="s">
        <v>39</v>
      </c>
      <c r="C114" s="13">
        <v>43385</v>
      </c>
      <c r="D114" s="5">
        <v>102</v>
      </c>
      <c r="E114" s="6" t="s">
        <v>53</v>
      </c>
      <c r="F114" s="5" t="s">
        <v>121</v>
      </c>
      <c r="G114" s="6" t="s">
        <v>120</v>
      </c>
      <c r="H114" s="5" t="str">
        <f>"000309"</f>
        <v>000309</v>
      </c>
      <c r="I114" s="4">
        <v>43159</v>
      </c>
      <c r="J114" s="5" t="str">
        <f>"000155"</f>
        <v>000155</v>
      </c>
      <c r="K114" s="4">
        <v>43460</v>
      </c>
      <c r="L114" s="5" t="str">
        <f>"000421"</f>
        <v>000421</v>
      </c>
      <c r="M114" s="4">
        <v>43461</v>
      </c>
      <c r="N114" s="5">
        <v>17</v>
      </c>
      <c r="O114" s="5" t="str">
        <f>""</f>
        <v/>
      </c>
      <c r="P114" s="4"/>
      <c r="Q114" s="7">
        <v>250.74547999999999</v>
      </c>
      <c r="R114" s="7">
        <v>8.5183099999999996</v>
      </c>
      <c r="S114" s="7">
        <v>242.22717</v>
      </c>
      <c r="T114" s="5">
        <v>232</v>
      </c>
      <c r="U114" s="4">
        <v>43385</v>
      </c>
      <c r="V114" s="5">
        <v>0</v>
      </c>
      <c r="W114" s="6" t="s">
        <v>119</v>
      </c>
      <c r="X114" s="5" t="s">
        <v>28</v>
      </c>
      <c r="Y114" s="6" t="s">
        <v>29</v>
      </c>
      <c r="Z114" s="5" t="s">
        <v>47</v>
      </c>
      <c r="AA114" s="6" t="s">
        <v>46</v>
      </c>
      <c r="AB114" s="7">
        <f>Q114/100</f>
        <v>2.5074547999999997</v>
      </c>
      <c r="AD114" s="8"/>
      <c r="AF114" s="8"/>
      <c r="AG114" s="8"/>
    </row>
    <row r="115" spans="1:33" x14ac:dyDescent="0.2">
      <c r="A115" s="12">
        <v>6136</v>
      </c>
      <c r="B115" s="13" t="s">
        <v>39</v>
      </c>
      <c r="C115" s="13">
        <v>43385</v>
      </c>
      <c r="D115" s="5">
        <v>102</v>
      </c>
      <c r="E115" s="6" t="s">
        <v>53</v>
      </c>
      <c r="F115" s="5" t="s">
        <v>121</v>
      </c>
      <c r="G115" s="6" t="s">
        <v>120</v>
      </c>
      <c r="H115" s="5" t="str">
        <f>"000309"</f>
        <v>000309</v>
      </c>
      <c r="I115" s="4">
        <v>43159</v>
      </c>
      <c r="J115" s="5" t="str">
        <f>"000155"</f>
        <v>000155</v>
      </c>
      <c r="K115" s="4">
        <v>43460</v>
      </c>
      <c r="L115" s="5" t="str">
        <f>"000421"</f>
        <v>000421</v>
      </c>
      <c r="M115" s="4">
        <v>43461</v>
      </c>
      <c r="N115" s="5">
        <v>17</v>
      </c>
      <c r="O115" s="5" t="str">
        <f>""</f>
        <v/>
      </c>
      <c r="P115" s="4"/>
      <c r="Q115" s="7">
        <v>307.75238000000002</v>
      </c>
      <c r="R115" s="7">
        <v>12.92357</v>
      </c>
      <c r="S115" s="7">
        <v>294.82880999999998</v>
      </c>
      <c r="T115" s="5">
        <v>234</v>
      </c>
      <c r="U115" s="4">
        <v>43385</v>
      </c>
      <c r="V115" s="5">
        <v>0</v>
      </c>
      <c r="W115" s="6" t="s">
        <v>119</v>
      </c>
      <c r="X115" s="5" t="s">
        <v>28</v>
      </c>
      <c r="Y115" s="6" t="s">
        <v>29</v>
      </c>
      <c r="Z115" s="5" t="s">
        <v>47</v>
      </c>
      <c r="AA115" s="6" t="s">
        <v>46</v>
      </c>
      <c r="AB115" s="7">
        <f>Q115/100</f>
        <v>3.0775238000000003</v>
      </c>
      <c r="AD115" s="8"/>
      <c r="AF115" s="8"/>
      <c r="AG115" s="8"/>
    </row>
    <row r="116" spans="1:33" x14ac:dyDescent="0.2">
      <c r="A116" s="12">
        <v>7084</v>
      </c>
      <c r="B116" s="13" t="s">
        <v>39</v>
      </c>
      <c r="C116" s="13">
        <v>43404</v>
      </c>
      <c r="D116" s="5">
        <v>102</v>
      </c>
      <c r="E116" s="6" t="s">
        <v>53</v>
      </c>
      <c r="F116" s="5" t="s">
        <v>118</v>
      </c>
      <c r="G116" s="6" t="s">
        <v>117</v>
      </c>
      <c r="H116" s="5" t="str">
        <f>"000040"</f>
        <v>000040</v>
      </c>
      <c r="I116" s="4">
        <v>43262</v>
      </c>
      <c r="J116" s="5" t="str">
        <f>"000058"</f>
        <v>000058</v>
      </c>
      <c r="K116" s="4">
        <v>43276</v>
      </c>
      <c r="L116" s="5" t="str">
        <f>"000122"</f>
        <v>000122</v>
      </c>
      <c r="M116" s="4">
        <v>43276</v>
      </c>
      <c r="N116" s="5">
        <v>18</v>
      </c>
      <c r="O116" s="5" t="str">
        <f>"007047"</f>
        <v>007047</v>
      </c>
      <c r="P116" s="4">
        <v>43400</v>
      </c>
      <c r="Q116" s="7">
        <v>24.99353</v>
      </c>
      <c r="R116" s="7">
        <v>2.6943999999999999</v>
      </c>
      <c r="S116" s="7">
        <v>22.299130000000002</v>
      </c>
      <c r="T116" s="5">
        <v>260</v>
      </c>
      <c r="U116" s="4">
        <v>43404</v>
      </c>
      <c r="V116" s="5">
        <v>9900333496</v>
      </c>
      <c r="W116" s="6" t="s">
        <v>66</v>
      </c>
      <c r="X116" s="5" t="s">
        <v>116</v>
      </c>
      <c r="Y116" s="6" t="s">
        <v>115</v>
      </c>
      <c r="Z116" s="5" t="s">
        <v>47</v>
      </c>
      <c r="AA116" s="6" t="s">
        <v>46</v>
      </c>
      <c r="AB116" s="7">
        <f>Q116/100</f>
        <v>0.2499353</v>
      </c>
      <c r="AD116" s="8"/>
      <c r="AF116" s="8"/>
      <c r="AG116" s="8"/>
    </row>
    <row r="117" spans="1:33" x14ac:dyDescent="0.2">
      <c r="A117" s="12">
        <v>7382</v>
      </c>
      <c r="B117" s="13" t="s">
        <v>106</v>
      </c>
      <c r="C117" s="13">
        <v>43427</v>
      </c>
      <c r="D117" s="5">
        <v>102</v>
      </c>
      <c r="E117" s="6" t="s">
        <v>53</v>
      </c>
      <c r="F117" s="5" t="s">
        <v>114</v>
      </c>
      <c r="G117" s="6" t="s">
        <v>113</v>
      </c>
      <c r="H117" s="5" t="str">
        <f>"000134"</f>
        <v>000134</v>
      </c>
      <c r="I117" s="4">
        <v>43383</v>
      </c>
      <c r="J117" s="5" t="str">
        <f>"000137"</f>
        <v>000137</v>
      </c>
      <c r="K117" s="4">
        <v>43396</v>
      </c>
      <c r="L117" s="5" t="str">
        <f>"000334"</f>
        <v>000334</v>
      </c>
      <c r="M117" s="4">
        <v>43398</v>
      </c>
      <c r="N117" s="5">
        <v>18</v>
      </c>
      <c r="O117" s="5" t="str">
        <f>"007529"</f>
        <v>007529</v>
      </c>
      <c r="P117" s="4">
        <v>43426</v>
      </c>
      <c r="Q117" s="7">
        <v>14.991989999999999</v>
      </c>
      <c r="R117" s="7">
        <v>1.758</v>
      </c>
      <c r="S117" s="7">
        <v>13.23399</v>
      </c>
      <c r="T117" s="5">
        <v>272</v>
      </c>
      <c r="U117" s="4">
        <v>43427</v>
      </c>
      <c r="V117" s="5">
        <v>9900333496</v>
      </c>
      <c r="W117" s="6" t="s">
        <v>66</v>
      </c>
      <c r="X117" s="5" t="s">
        <v>112</v>
      </c>
      <c r="Y117" s="6" t="s">
        <v>111</v>
      </c>
      <c r="Z117" s="5" t="s">
        <v>47</v>
      </c>
      <c r="AA117" s="6" t="s">
        <v>46</v>
      </c>
      <c r="AB117" s="7">
        <f>Q117/100</f>
        <v>0.14991989999999999</v>
      </c>
      <c r="AD117" s="8"/>
      <c r="AF117" s="8"/>
      <c r="AG117" s="8"/>
    </row>
    <row r="118" spans="1:33" x14ac:dyDescent="0.2">
      <c r="A118" s="12">
        <v>7383</v>
      </c>
      <c r="B118" s="13" t="s">
        <v>106</v>
      </c>
      <c r="C118" s="13">
        <v>43427</v>
      </c>
      <c r="D118" s="5">
        <v>102</v>
      </c>
      <c r="E118" s="6" t="s">
        <v>53</v>
      </c>
      <c r="F118" s="5" t="s">
        <v>110</v>
      </c>
      <c r="G118" s="6" t="s">
        <v>109</v>
      </c>
      <c r="H118" s="5" t="str">
        <f>"000136"</f>
        <v>000136</v>
      </c>
      <c r="I118" s="4">
        <v>43383</v>
      </c>
      <c r="J118" s="5" t="str">
        <f>"000139"</f>
        <v>000139</v>
      </c>
      <c r="K118" s="4">
        <v>43396</v>
      </c>
      <c r="L118" s="5" t="str">
        <f>"000335"</f>
        <v>000335</v>
      </c>
      <c r="M118" s="4">
        <v>43398</v>
      </c>
      <c r="N118" s="5">
        <v>18</v>
      </c>
      <c r="O118" s="5" t="str">
        <f>"007530"</f>
        <v>007530</v>
      </c>
      <c r="P118" s="4">
        <v>43426</v>
      </c>
      <c r="Q118" s="7">
        <v>9.7972300000000008</v>
      </c>
      <c r="R118" s="7">
        <v>1.0175099999999999</v>
      </c>
      <c r="S118" s="7">
        <v>8.7797199999999993</v>
      </c>
      <c r="T118" s="5">
        <v>272</v>
      </c>
      <c r="U118" s="4">
        <v>43427</v>
      </c>
      <c r="V118" s="5">
        <v>9900333496</v>
      </c>
      <c r="W118" s="6" t="s">
        <v>66</v>
      </c>
      <c r="X118" s="5" t="s">
        <v>108</v>
      </c>
      <c r="Y118" s="6" t="s">
        <v>107</v>
      </c>
      <c r="Z118" s="5" t="s">
        <v>47</v>
      </c>
      <c r="AA118" s="6" t="s">
        <v>46</v>
      </c>
      <c r="AB118" s="7">
        <f>Q118/100</f>
        <v>9.7972300000000012E-2</v>
      </c>
      <c r="AD118" s="8"/>
      <c r="AF118" s="8"/>
      <c r="AG118" s="8"/>
    </row>
    <row r="119" spans="1:33" x14ac:dyDescent="0.2">
      <c r="A119" s="12">
        <v>7384</v>
      </c>
      <c r="B119" s="13" t="s">
        <v>106</v>
      </c>
      <c r="C119" s="13">
        <v>43427</v>
      </c>
      <c r="D119" s="5">
        <v>102</v>
      </c>
      <c r="E119" s="6" t="s">
        <v>53</v>
      </c>
      <c r="F119" s="5" t="s">
        <v>105</v>
      </c>
      <c r="G119" s="6" t="s">
        <v>104</v>
      </c>
      <c r="H119" s="5" t="str">
        <f>"000135"</f>
        <v>000135</v>
      </c>
      <c r="I119" s="4">
        <v>43383</v>
      </c>
      <c r="J119" s="5" t="str">
        <f>"000138"</f>
        <v>000138</v>
      </c>
      <c r="K119" s="4">
        <v>43396</v>
      </c>
      <c r="L119" s="5" t="str">
        <f>"000336"</f>
        <v>000336</v>
      </c>
      <c r="M119" s="4">
        <v>43398</v>
      </c>
      <c r="N119" s="5">
        <v>18</v>
      </c>
      <c r="O119" s="5" t="str">
        <f>"007531"</f>
        <v>007531</v>
      </c>
      <c r="P119" s="4">
        <v>43426</v>
      </c>
      <c r="Q119" s="7">
        <v>14.99499</v>
      </c>
      <c r="R119" s="7">
        <v>1.7798099999999999</v>
      </c>
      <c r="S119" s="7">
        <v>13.21518</v>
      </c>
      <c r="T119" s="5">
        <v>272</v>
      </c>
      <c r="U119" s="4">
        <v>43427</v>
      </c>
      <c r="V119" s="5">
        <v>9900333496</v>
      </c>
      <c r="W119" s="6" t="s">
        <v>66</v>
      </c>
      <c r="X119" s="5" t="s">
        <v>103</v>
      </c>
      <c r="Y119" s="6" t="s">
        <v>102</v>
      </c>
      <c r="Z119" s="5" t="s">
        <v>47</v>
      </c>
      <c r="AA119" s="6" t="s">
        <v>46</v>
      </c>
      <c r="AB119" s="7">
        <f>Q119/100</f>
        <v>0.1499499</v>
      </c>
      <c r="AD119" s="8"/>
      <c r="AF119" s="8"/>
      <c r="AG119" s="8"/>
    </row>
    <row r="120" spans="1:33" x14ac:dyDescent="0.2">
      <c r="A120" s="12">
        <v>7525</v>
      </c>
      <c r="B120" s="13" t="s">
        <v>38</v>
      </c>
      <c r="C120" s="13">
        <v>43437</v>
      </c>
      <c r="D120" s="5">
        <v>102</v>
      </c>
      <c r="E120" s="6" t="s">
        <v>53</v>
      </c>
      <c r="F120" s="5" t="s">
        <v>101</v>
      </c>
      <c r="G120" s="6" t="s">
        <v>100</v>
      </c>
      <c r="H120" s="5" t="str">
        <f>"000451"</f>
        <v>000451</v>
      </c>
      <c r="I120" s="4">
        <v>42797</v>
      </c>
      <c r="J120" s="5" t="str">
        <f>"000004"</f>
        <v>000004</v>
      </c>
      <c r="K120" s="4">
        <v>42844</v>
      </c>
      <c r="L120" s="5" t="str">
        <f>"000021"</f>
        <v>000021</v>
      </c>
      <c r="M120" s="4">
        <v>42853</v>
      </c>
      <c r="N120" s="5">
        <v>17</v>
      </c>
      <c r="O120" s="5" t="str">
        <f>"007375"</f>
        <v>007375</v>
      </c>
      <c r="P120" s="4">
        <v>43420</v>
      </c>
      <c r="Q120" s="7">
        <v>16.033750000000001</v>
      </c>
      <c r="R120" s="7">
        <v>1.26667</v>
      </c>
      <c r="S120" s="7">
        <v>14.76708</v>
      </c>
      <c r="T120" s="5">
        <v>279</v>
      </c>
      <c r="U120" s="4">
        <v>43437</v>
      </c>
      <c r="V120" s="5">
        <v>7019674045</v>
      </c>
      <c r="W120" s="6" t="s">
        <v>99</v>
      </c>
      <c r="X120" s="5" t="s">
        <v>31</v>
      </c>
      <c r="Y120" s="6" t="s">
        <v>32</v>
      </c>
      <c r="Z120" s="5" t="s">
        <v>47</v>
      </c>
      <c r="AA120" s="6" t="s">
        <v>46</v>
      </c>
      <c r="AB120" s="7">
        <f>Q120/100</f>
        <v>0.16033750000000002</v>
      </c>
      <c r="AD120" s="8"/>
      <c r="AF120" s="8"/>
      <c r="AG120" s="8"/>
    </row>
    <row r="121" spans="1:33" x14ac:dyDescent="0.2">
      <c r="A121" s="12">
        <v>7526</v>
      </c>
      <c r="B121" s="13" t="s">
        <v>38</v>
      </c>
      <c r="C121" s="13">
        <v>43437</v>
      </c>
      <c r="D121" s="5">
        <v>102</v>
      </c>
      <c r="E121" s="6" t="s">
        <v>53</v>
      </c>
      <c r="F121" s="5" t="s">
        <v>98</v>
      </c>
      <c r="G121" s="6" t="s">
        <v>97</v>
      </c>
      <c r="H121" s="5" t="str">
        <f>"000525"</f>
        <v>000525</v>
      </c>
      <c r="I121" s="4">
        <v>42816</v>
      </c>
      <c r="J121" s="5" t="str">
        <f>"000047"</f>
        <v>000047</v>
      </c>
      <c r="K121" s="4">
        <v>42878</v>
      </c>
      <c r="L121" s="5" t="str">
        <f>"000168"</f>
        <v>000168</v>
      </c>
      <c r="M121" s="4">
        <v>42884</v>
      </c>
      <c r="N121" s="5">
        <v>17</v>
      </c>
      <c r="O121" s="5" t="str">
        <f>"007383"</f>
        <v>007383</v>
      </c>
      <c r="P121" s="4">
        <v>43420</v>
      </c>
      <c r="Q121" s="7">
        <v>17.953199999999999</v>
      </c>
      <c r="R121" s="7">
        <v>1.3035000000000001</v>
      </c>
      <c r="S121" s="7">
        <v>16.649699999999999</v>
      </c>
      <c r="T121" s="5">
        <v>279</v>
      </c>
      <c r="U121" s="4">
        <v>43437</v>
      </c>
      <c r="V121" s="5">
        <v>9845003091</v>
      </c>
      <c r="W121" s="6" t="s">
        <v>92</v>
      </c>
      <c r="X121" s="5" t="s">
        <v>31</v>
      </c>
      <c r="Y121" s="6" t="s">
        <v>32</v>
      </c>
      <c r="Z121" s="5" t="s">
        <v>47</v>
      </c>
      <c r="AA121" s="6" t="s">
        <v>46</v>
      </c>
      <c r="AB121" s="7">
        <f>Q121/100</f>
        <v>0.179532</v>
      </c>
      <c r="AD121" s="8"/>
      <c r="AF121" s="8"/>
      <c r="AG121" s="8"/>
    </row>
    <row r="122" spans="1:33" x14ac:dyDescent="0.2">
      <c r="A122" s="12">
        <v>7527</v>
      </c>
      <c r="B122" s="13" t="s">
        <v>38</v>
      </c>
      <c r="C122" s="13">
        <v>43437</v>
      </c>
      <c r="D122" s="5">
        <v>102</v>
      </c>
      <c r="E122" s="6" t="s">
        <v>53</v>
      </c>
      <c r="F122" s="5" t="s">
        <v>96</v>
      </c>
      <c r="G122" s="6" t="s">
        <v>95</v>
      </c>
      <c r="H122" s="5" t="str">
        <f>"000526"</f>
        <v>000526</v>
      </c>
      <c r="I122" s="4">
        <v>42816</v>
      </c>
      <c r="J122" s="5" t="str">
        <f>"000046"</f>
        <v>000046</v>
      </c>
      <c r="K122" s="4">
        <v>42878</v>
      </c>
      <c r="L122" s="5" t="str">
        <f>"000170"</f>
        <v>000170</v>
      </c>
      <c r="M122" s="4">
        <v>42884</v>
      </c>
      <c r="N122" s="5">
        <v>17</v>
      </c>
      <c r="O122" s="5" t="str">
        <f>"007384"</f>
        <v>007384</v>
      </c>
      <c r="P122" s="4">
        <v>43420</v>
      </c>
      <c r="Q122" s="7">
        <v>18.034099999999999</v>
      </c>
      <c r="R122" s="7">
        <v>1.27092</v>
      </c>
      <c r="S122" s="7">
        <v>16.763179999999998</v>
      </c>
      <c r="T122" s="5">
        <v>279</v>
      </c>
      <c r="U122" s="4">
        <v>43437</v>
      </c>
      <c r="V122" s="5">
        <v>9845003091</v>
      </c>
      <c r="W122" s="6" t="s">
        <v>92</v>
      </c>
      <c r="X122" s="5" t="s">
        <v>31</v>
      </c>
      <c r="Y122" s="6" t="s">
        <v>32</v>
      </c>
      <c r="Z122" s="5" t="s">
        <v>47</v>
      </c>
      <c r="AA122" s="6" t="s">
        <v>46</v>
      </c>
      <c r="AB122" s="7">
        <f>Q122/100</f>
        <v>0.18034099999999997</v>
      </c>
      <c r="AD122" s="8"/>
      <c r="AF122" s="8"/>
      <c r="AG122" s="8"/>
    </row>
    <row r="123" spans="1:33" x14ac:dyDescent="0.2">
      <c r="A123" s="12">
        <v>7528</v>
      </c>
      <c r="B123" s="13" t="s">
        <v>38</v>
      </c>
      <c r="C123" s="13">
        <v>43437</v>
      </c>
      <c r="D123" s="5">
        <v>102</v>
      </c>
      <c r="E123" s="6" t="s">
        <v>53</v>
      </c>
      <c r="F123" s="5" t="s">
        <v>94</v>
      </c>
      <c r="G123" s="6" t="s">
        <v>93</v>
      </c>
      <c r="H123" s="5" t="str">
        <f>"000524"</f>
        <v>000524</v>
      </c>
      <c r="I123" s="4">
        <v>42816</v>
      </c>
      <c r="J123" s="5" t="str">
        <f>" 00045"</f>
        <v xml:space="preserve"> 00045</v>
      </c>
      <c r="K123" s="4">
        <v>42878</v>
      </c>
      <c r="L123" s="5" t="str">
        <f>"000172"</f>
        <v>000172</v>
      </c>
      <c r="M123" s="4">
        <v>42884</v>
      </c>
      <c r="N123" s="5">
        <v>17</v>
      </c>
      <c r="O123" s="5" t="str">
        <f>"007385"</f>
        <v>007385</v>
      </c>
      <c r="P123" s="4">
        <v>43420</v>
      </c>
      <c r="Q123" s="7">
        <v>10.50081</v>
      </c>
      <c r="R123" s="7">
        <v>0.82964000000000004</v>
      </c>
      <c r="S123" s="7">
        <v>9.67117</v>
      </c>
      <c r="T123" s="5">
        <v>279</v>
      </c>
      <c r="U123" s="4">
        <v>43437</v>
      </c>
      <c r="V123" s="5">
        <v>9845003091</v>
      </c>
      <c r="W123" s="6" t="s">
        <v>92</v>
      </c>
      <c r="X123" s="5" t="s">
        <v>31</v>
      </c>
      <c r="Y123" s="6" t="s">
        <v>32</v>
      </c>
      <c r="Z123" s="5" t="s">
        <v>47</v>
      </c>
      <c r="AA123" s="6" t="s">
        <v>46</v>
      </c>
      <c r="AB123" s="7">
        <f>Q123/100</f>
        <v>0.10500809999999999</v>
      </c>
      <c r="AD123" s="8"/>
      <c r="AF123" s="8"/>
      <c r="AG123" s="8"/>
    </row>
    <row r="124" spans="1:33" x14ac:dyDescent="0.2">
      <c r="A124" s="12">
        <v>7529</v>
      </c>
      <c r="B124" s="13" t="s">
        <v>38</v>
      </c>
      <c r="C124" s="13">
        <v>43437</v>
      </c>
      <c r="D124" s="5">
        <v>102</v>
      </c>
      <c r="E124" s="6" t="s">
        <v>53</v>
      </c>
      <c r="F124" s="5" t="s">
        <v>91</v>
      </c>
      <c r="G124" s="6" t="s">
        <v>90</v>
      </c>
      <c r="H124" s="5" t="str">
        <f>"000464"</f>
        <v>000464</v>
      </c>
      <c r="I124" s="4">
        <v>42802</v>
      </c>
      <c r="J124" s="5" t="str">
        <f>"000025"</f>
        <v>000025</v>
      </c>
      <c r="K124" s="4">
        <v>42853</v>
      </c>
      <c r="L124" s="5" t="str">
        <f>"000072"</f>
        <v>000072</v>
      </c>
      <c r="M124" s="4">
        <v>42853</v>
      </c>
      <c r="N124" s="5">
        <v>17</v>
      </c>
      <c r="O124" s="5" t="str">
        <f>"007452"</f>
        <v>007452</v>
      </c>
      <c r="P124" s="4">
        <v>43421</v>
      </c>
      <c r="Q124" s="7">
        <v>17.27347</v>
      </c>
      <c r="R124" s="7">
        <v>1.3465400000000001</v>
      </c>
      <c r="S124" s="7">
        <v>15.92693</v>
      </c>
      <c r="T124" s="5">
        <v>279</v>
      </c>
      <c r="U124" s="4">
        <v>43437</v>
      </c>
      <c r="V124" s="5">
        <v>9341217102</v>
      </c>
      <c r="W124" s="6" t="s">
        <v>89</v>
      </c>
      <c r="X124" s="5" t="s">
        <v>31</v>
      </c>
      <c r="Y124" s="6" t="s">
        <v>32</v>
      </c>
      <c r="Z124" s="5" t="s">
        <v>47</v>
      </c>
      <c r="AA124" s="6" t="s">
        <v>46</v>
      </c>
      <c r="AB124" s="7">
        <f>Q124/100</f>
        <v>0.17273469999999999</v>
      </c>
      <c r="AD124" s="8"/>
      <c r="AF124" s="8"/>
      <c r="AG124" s="8"/>
    </row>
    <row r="125" spans="1:33" x14ac:dyDescent="0.2">
      <c r="A125" s="12">
        <v>7530</v>
      </c>
      <c r="B125" s="13" t="s">
        <v>38</v>
      </c>
      <c r="C125" s="13">
        <v>43437</v>
      </c>
      <c r="D125" s="5">
        <v>102</v>
      </c>
      <c r="E125" s="6" t="s">
        <v>53</v>
      </c>
      <c r="F125" s="5" t="s">
        <v>88</v>
      </c>
      <c r="G125" s="6" t="s">
        <v>87</v>
      </c>
      <c r="H125" s="5" t="str">
        <f>"000157"</f>
        <v>000157</v>
      </c>
      <c r="I125" s="4">
        <v>43138</v>
      </c>
      <c r="J125" s="5" t="str">
        <f>"000126"</f>
        <v>000126</v>
      </c>
      <c r="K125" s="4">
        <v>43180</v>
      </c>
      <c r="L125" s="5" t="str">
        <f>"000298"</f>
        <v>000298</v>
      </c>
      <c r="M125" s="4">
        <v>43182</v>
      </c>
      <c r="N125" s="5">
        <v>18</v>
      </c>
      <c r="O125" s="5" t="str">
        <f>"007623"</f>
        <v>007623</v>
      </c>
      <c r="P125" s="4">
        <v>43432</v>
      </c>
      <c r="Q125" s="7">
        <v>24.794750000000001</v>
      </c>
      <c r="R125" s="7">
        <v>2.9745699999999999</v>
      </c>
      <c r="S125" s="7">
        <v>21.820180000000001</v>
      </c>
      <c r="T125" s="5">
        <v>280</v>
      </c>
      <c r="U125" s="4">
        <v>43437</v>
      </c>
      <c r="V125" s="5">
        <v>9900333496</v>
      </c>
      <c r="W125" s="6" t="s">
        <v>66</v>
      </c>
      <c r="X125" s="5" t="s">
        <v>78</v>
      </c>
      <c r="Y125" s="6" t="s">
        <v>77</v>
      </c>
      <c r="Z125" s="5" t="s">
        <v>47</v>
      </c>
      <c r="AA125" s="6" t="s">
        <v>46</v>
      </c>
      <c r="AB125" s="7">
        <f>Q125/100</f>
        <v>0.24794750000000002</v>
      </c>
      <c r="AD125" s="8"/>
      <c r="AF125" s="8"/>
      <c r="AG125" s="8"/>
    </row>
    <row r="126" spans="1:33" x14ac:dyDescent="0.2">
      <c r="A126" s="12">
        <v>7531</v>
      </c>
      <c r="B126" s="13" t="s">
        <v>38</v>
      </c>
      <c r="C126" s="13">
        <v>43437</v>
      </c>
      <c r="D126" s="5">
        <v>102</v>
      </c>
      <c r="E126" s="6" t="s">
        <v>53</v>
      </c>
      <c r="F126" s="5" t="s">
        <v>86</v>
      </c>
      <c r="G126" s="6" t="s">
        <v>85</v>
      </c>
      <c r="H126" s="5" t="str">
        <f>"000158"</f>
        <v>000158</v>
      </c>
      <c r="I126" s="4">
        <v>43138</v>
      </c>
      <c r="J126" s="5" t="str">
        <f>"000128"</f>
        <v>000128</v>
      </c>
      <c r="K126" s="4">
        <v>43180</v>
      </c>
      <c r="L126" s="5" t="str">
        <f>"000299"</f>
        <v>000299</v>
      </c>
      <c r="M126" s="4">
        <v>43182</v>
      </c>
      <c r="N126" s="5">
        <v>18</v>
      </c>
      <c r="O126" s="5" t="str">
        <f>"007636"</f>
        <v>007636</v>
      </c>
      <c r="P126" s="4">
        <v>43432</v>
      </c>
      <c r="Q126" s="7">
        <v>24.934360000000002</v>
      </c>
      <c r="R126" s="7">
        <v>2.98935</v>
      </c>
      <c r="S126" s="7">
        <v>21.94501</v>
      </c>
      <c r="T126" s="5">
        <v>280</v>
      </c>
      <c r="U126" s="4">
        <v>43437</v>
      </c>
      <c r="V126" s="5">
        <v>9900333496</v>
      </c>
      <c r="W126" s="6" t="s">
        <v>66</v>
      </c>
      <c r="X126" s="5" t="s">
        <v>84</v>
      </c>
      <c r="Y126" s="6" t="s">
        <v>83</v>
      </c>
      <c r="Z126" s="5" t="s">
        <v>47</v>
      </c>
      <c r="AA126" s="6" t="s">
        <v>46</v>
      </c>
      <c r="AB126" s="7">
        <f>Q126/100</f>
        <v>0.24934360000000003</v>
      </c>
      <c r="AD126" s="8"/>
      <c r="AF126" s="8"/>
      <c r="AG126" s="8"/>
    </row>
    <row r="127" spans="1:33" x14ac:dyDescent="0.2">
      <c r="A127" s="12">
        <v>7532</v>
      </c>
      <c r="B127" s="13" t="s">
        <v>38</v>
      </c>
      <c r="C127" s="13">
        <v>43437</v>
      </c>
      <c r="D127" s="5">
        <v>102</v>
      </c>
      <c r="E127" s="6" t="s">
        <v>53</v>
      </c>
      <c r="F127" s="5" t="s">
        <v>82</v>
      </c>
      <c r="G127" s="6" t="s">
        <v>81</v>
      </c>
      <c r="H127" s="5" t="str">
        <f>"000156"</f>
        <v>000156</v>
      </c>
      <c r="I127" s="4">
        <v>43138</v>
      </c>
      <c r="J127" s="5" t="str">
        <f>"000125"</f>
        <v>000125</v>
      </c>
      <c r="K127" s="4">
        <v>43180</v>
      </c>
      <c r="L127" s="5" t="str">
        <f>"000300"</f>
        <v>000300</v>
      </c>
      <c r="M127" s="4">
        <v>43182</v>
      </c>
      <c r="N127" s="5">
        <v>18</v>
      </c>
      <c r="O127" s="5" t="str">
        <f>"007637"</f>
        <v>007637</v>
      </c>
      <c r="P127" s="4">
        <v>43432</v>
      </c>
      <c r="Q127" s="7">
        <v>24.794750000000001</v>
      </c>
      <c r="R127" s="7">
        <v>2.9745699999999999</v>
      </c>
      <c r="S127" s="7">
        <v>21.820180000000001</v>
      </c>
      <c r="T127" s="5">
        <v>280</v>
      </c>
      <c r="U127" s="4">
        <v>43437</v>
      </c>
      <c r="V127" s="5">
        <v>9900333496</v>
      </c>
      <c r="W127" s="6" t="s">
        <v>66</v>
      </c>
      <c r="X127" s="5" t="s">
        <v>78</v>
      </c>
      <c r="Y127" s="6" t="s">
        <v>77</v>
      </c>
      <c r="Z127" s="5" t="s">
        <v>47</v>
      </c>
      <c r="AA127" s="6" t="s">
        <v>46</v>
      </c>
      <c r="AB127" s="7">
        <f>Q127/100</f>
        <v>0.24794750000000002</v>
      </c>
      <c r="AD127" s="8"/>
      <c r="AF127" s="8"/>
      <c r="AG127" s="8"/>
    </row>
    <row r="128" spans="1:33" x14ac:dyDescent="0.2">
      <c r="A128" s="12">
        <v>7533</v>
      </c>
      <c r="B128" s="13" t="s">
        <v>38</v>
      </c>
      <c r="C128" s="13">
        <v>43437</v>
      </c>
      <c r="D128" s="5">
        <v>102</v>
      </c>
      <c r="E128" s="6" t="s">
        <v>53</v>
      </c>
      <c r="F128" s="5" t="s">
        <v>80</v>
      </c>
      <c r="G128" s="6" t="s">
        <v>79</v>
      </c>
      <c r="H128" s="5" t="str">
        <f>"000159"</f>
        <v>000159</v>
      </c>
      <c r="I128" s="4">
        <v>43138</v>
      </c>
      <c r="J128" s="5" t="str">
        <f>"000127"</f>
        <v>000127</v>
      </c>
      <c r="K128" s="4">
        <v>43180</v>
      </c>
      <c r="L128" s="5" t="str">
        <f>"000302"</f>
        <v>000302</v>
      </c>
      <c r="M128" s="4">
        <v>43182</v>
      </c>
      <c r="N128" s="5">
        <v>18</v>
      </c>
      <c r="O128" s="5" t="str">
        <f>"007638"</f>
        <v>007638</v>
      </c>
      <c r="P128" s="4">
        <v>43432</v>
      </c>
      <c r="Q128" s="7">
        <v>24.934360000000002</v>
      </c>
      <c r="R128" s="7">
        <v>2.98935</v>
      </c>
      <c r="S128" s="7">
        <v>21.94501</v>
      </c>
      <c r="T128" s="5">
        <v>280</v>
      </c>
      <c r="U128" s="4">
        <v>43437</v>
      </c>
      <c r="V128" s="5">
        <v>9900333496</v>
      </c>
      <c r="W128" s="6" t="s">
        <v>66</v>
      </c>
      <c r="X128" s="5" t="s">
        <v>78</v>
      </c>
      <c r="Y128" s="6" t="s">
        <v>77</v>
      </c>
      <c r="Z128" s="5" t="s">
        <v>47</v>
      </c>
      <c r="AA128" s="6" t="s">
        <v>46</v>
      </c>
      <c r="AB128" s="7">
        <f>Q128/100</f>
        <v>0.24934360000000003</v>
      </c>
      <c r="AD128" s="8"/>
      <c r="AF128" s="8"/>
      <c r="AG128" s="8"/>
    </row>
    <row r="129" spans="1:33" x14ac:dyDescent="0.2">
      <c r="A129" s="12">
        <v>7873</v>
      </c>
      <c r="B129" s="13" t="s">
        <v>38</v>
      </c>
      <c r="C129" s="13">
        <v>43453</v>
      </c>
      <c r="D129" s="5">
        <v>102</v>
      </c>
      <c r="E129" s="6" t="s">
        <v>53</v>
      </c>
      <c r="F129" s="5" t="s">
        <v>76</v>
      </c>
      <c r="G129" s="6" t="s">
        <v>75</v>
      </c>
      <c r="H129" s="5" t="str">
        <f>"000132"</f>
        <v>000132</v>
      </c>
      <c r="I129" s="4">
        <v>43374</v>
      </c>
      <c r="J129" s="5" t="str">
        <f>"000143"</f>
        <v>000143</v>
      </c>
      <c r="K129" s="4">
        <v>43421</v>
      </c>
      <c r="L129" s="5" t="str">
        <f>"000362"</f>
        <v>000362</v>
      </c>
      <c r="M129" s="4">
        <v>43421</v>
      </c>
      <c r="N129" s="5">
        <v>18</v>
      </c>
      <c r="O129" s="5" t="str">
        <f>"008052"</f>
        <v>008052</v>
      </c>
      <c r="P129" s="4">
        <v>43451</v>
      </c>
      <c r="Q129" s="7">
        <v>4.9832299999999998</v>
      </c>
      <c r="R129" s="7">
        <v>0.50761000000000001</v>
      </c>
      <c r="S129" s="7">
        <v>4.4756200000000002</v>
      </c>
      <c r="T129" s="5">
        <v>296</v>
      </c>
      <c r="U129" s="4">
        <v>43453</v>
      </c>
      <c r="V129" s="5">
        <v>9900333496</v>
      </c>
      <c r="W129" s="6" t="s">
        <v>66</v>
      </c>
      <c r="X129" s="5" t="s">
        <v>74</v>
      </c>
      <c r="Y129" s="6" t="s">
        <v>73</v>
      </c>
      <c r="Z129" s="5" t="s">
        <v>47</v>
      </c>
      <c r="AA129" s="6" t="s">
        <v>46</v>
      </c>
      <c r="AB129" s="7">
        <f>Q129/100</f>
        <v>4.9832299999999996E-2</v>
      </c>
      <c r="AD129" s="8"/>
      <c r="AF129" s="8"/>
      <c r="AG129" s="8"/>
    </row>
    <row r="130" spans="1:33" x14ac:dyDescent="0.2">
      <c r="A130" s="12">
        <v>7874</v>
      </c>
      <c r="B130" s="13" t="s">
        <v>38</v>
      </c>
      <c r="C130" s="13">
        <v>43453</v>
      </c>
      <c r="D130" s="5">
        <v>102</v>
      </c>
      <c r="E130" s="6" t="s">
        <v>53</v>
      </c>
      <c r="F130" s="5" t="s">
        <v>72</v>
      </c>
      <c r="G130" s="6" t="s">
        <v>71</v>
      </c>
      <c r="H130" s="5" t="str">
        <f>"000130"</f>
        <v>000130</v>
      </c>
      <c r="I130" s="4">
        <v>43374</v>
      </c>
      <c r="J130" s="5" t="str">
        <f>"000141"</f>
        <v>000141</v>
      </c>
      <c r="K130" s="4">
        <v>43421</v>
      </c>
      <c r="L130" s="5" t="str">
        <f>"000364"</f>
        <v>000364</v>
      </c>
      <c r="M130" s="4">
        <v>43421</v>
      </c>
      <c r="N130" s="5">
        <v>18</v>
      </c>
      <c r="O130" s="5" t="str">
        <f>"008053"</f>
        <v>008053</v>
      </c>
      <c r="P130" s="4">
        <v>43451</v>
      </c>
      <c r="Q130" s="7">
        <v>4.9994699999999996</v>
      </c>
      <c r="R130" s="7">
        <v>0.53625</v>
      </c>
      <c r="S130" s="7">
        <v>4.4632199999999997</v>
      </c>
      <c r="T130" s="5">
        <v>296</v>
      </c>
      <c r="U130" s="4">
        <v>43453</v>
      </c>
      <c r="V130" s="5">
        <v>9900333496</v>
      </c>
      <c r="W130" s="6" t="s">
        <v>44</v>
      </c>
      <c r="X130" s="5" t="s">
        <v>70</v>
      </c>
      <c r="Y130" s="6" t="s">
        <v>69</v>
      </c>
      <c r="Z130" s="5" t="s">
        <v>47</v>
      </c>
      <c r="AA130" s="6" t="s">
        <v>46</v>
      </c>
      <c r="AB130" s="7">
        <f>Q130/100</f>
        <v>4.9994699999999996E-2</v>
      </c>
      <c r="AD130" s="8"/>
      <c r="AF130" s="8"/>
      <c r="AG130" s="8"/>
    </row>
    <row r="131" spans="1:33" x14ac:dyDescent="0.2">
      <c r="A131" s="12">
        <v>7875</v>
      </c>
      <c r="B131" s="13" t="s">
        <v>38</v>
      </c>
      <c r="C131" s="13">
        <v>43453</v>
      </c>
      <c r="D131" s="5">
        <v>102</v>
      </c>
      <c r="E131" s="6" t="s">
        <v>53</v>
      </c>
      <c r="F131" s="5" t="s">
        <v>68</v>
      </c>
      <c r="G131" s="6" t="s">
        <v>67</v>
      </c>
      <c r="H131" s="5" t="str">
        <f>"000131"</f>
        <v>000131</v>
      </c>
      <c r="I131" s="4">
        <v>43374</v>
      </c>
      <c r="J131" s="5" t="str">
        <f>"000142"</f>
        <v>000142</v>
      </c>
      <c r="K131" s="4">
        <v>43421</v>
      </c>
      <c r="L131" s="5" t="str">
        <f>"000363"</f>
        <v>000363</v>
      </c>
      <c r="M131" s="4">
        <v>43421</v>
      </c>
      <c r="N131" s="5">
        <v>18</v>
      </c>
      <c r="O131" s="5" t="str">
        <f>"008054"</f>
        <v>008054</v>
      </c>
      <c r="P131" s="4">
        <v>43451</v>
      </c>
      <c r="Q131" s="7">
        <v>4.99796</v>
      </c>
      <c r="R131" s="7">
        <v>0.49408000000000002</v>
      </c>
      <c r="S131" s="7">
        <v>4.5038799999999997</v>
      </c>
      <c r="T131" s="5">
        <v>296</v>
      </c>
      <c r="U131" s="4">
        <v>43453</v>
      </c>
      <c r="V131" s="5">
        <v>9900333496</v>
      </c>
      <c r="W131" s="6" t="s">
        <v>66</v>
      </c>
      <c r="X131" s="5" t="s">
        <v>65</v>
      </c>
      <c r="Y131" s="6" t="s">
        <v>64</v>
      </c>
      <c r="Z131" s="5" t="s">
        <v>47</v>
      </c>
      <c r="AA131" s="6" t="s">
        <v>46</v>
      </c>
      <c r="AB131" s="7">
        <f>Q131/100</f>
        <v>4.9979599999999999E-2</v>
      </c>
      <c r="AD131" s="8"/>
      <c r="AF131" s="8"/>
      <c r="AG131" s="8"/>
    </row>
    <row r="132" spans="1:33" x14ac:dyDescent="0.2">
      <c r="A132" s="12">
        <v>8027</v>
      </c>
      <c r="B132" s="13" t="s">
        <v>38</v>
      </c>
      <c r="C132" s="13">
        <v>43455</v>
      </c>
      <c r="D132" s="5">
        <v>102</v>
      </c>
      <c r="E132" s="6" t="s">
        <v>53</v>
      </c>
      <c r="F132" s="5" t="s">
        <v>63</v>
      </c>
      <c r="G132" s="6" t="s">
        <v>62</v>
      </c>
      <c r="H132" s="5" t="str">
        <f>"000538"</f>
        <v>000538</v>
      </c>
      <c r="I132" s="4">
        <v>42825</v>
      </c>
      <c r="J132" s="5" t="str">
        <f>"000070"</f>
        <v>000070</v>
      </c>
      <c r="K132" s="4">
        <v>42886</v>
      </c>
      <c r="L132" s="5" t="str">
        <f>"000213"</f>
        <v>000213</v>
      </c>
      <c r="M132" s="4">
        <v>42886</v>
      </c>
      <c r="N132" s="5">
        <v>17</v>
      </c>
      <c r="O132" s="5" t="str">
        <f>"007792"</f>
        <v>007792</v>
      </c>
      <c r="P132" s="4">
        <v>43444</v>
      </c>
      <c r="Q132" s="7">
        <v>49.543819999999997</v>
      </c>
      <c r="R132" s="7">
        <v>7.0434099999999997</v>
      </c>
      <c r="S132" s="7">
        <v>42.500410000000002</v>
      </c>
      <c r="T132" s="5">
        <v>301</v>
      </c>
      <c r="U132" s="4">
        <v>43455</v>
      </c>
      <c r="V132" s="5">
        <v>9900333496</v>
      </c>
      <c r="W132" s="6" t="s">
        <v>50</v>
      </c>
      <c r="X132" s="5" t="s">
        <v>61</v>
      </c>
      <c r="Y132" s="6" t="s">
        <v>60</v>
      </c>
      <c r="Z132" s="5" t="s">
        <v>47</v>
      </c>
      <c r="AA132" s="6" t="s">
        <v>46</v>
      </c>
      <c r="AB132" s="7">
        <f>Q132/100</f>
        <v>0.49543819999999994</v>
      </c>
      <c r="AD132" s="8"/>
      <c r="AF132" s="8"/>
      <c r="AG132" s="8"/>
    </row>
    <row r="133" spans="1:33" x14ac:dyDescent="0.2">
      <c r="A133" s="12">
        <v>8028</v>
      </c>
      <c r="B133" s="13" t="s">
        <v>38</v>
      </c>
      <c r="C133" s="13">
        <v>43455</v>
      </c>
      <c r="D133" s="5">
        <v>102</v>
      </c>
      <c r="E133" s="6" t="s">
        <v>53</v>
      </c>
      <c r="F133" s="5" t="s">
        <v>59</v>
      </c>
      <c r="G133" s="6" t="s">
        <v>58</v>
      </c>
      <c r="H133" s="5" t="str">
        <f>"000539"</f>
        <v>000539</v>
      </c>
      <c r="I133" s="4">
        <v>42825</v>
      </c>
      <c r="J133" s="5" t="str">
        <f>"000071"</f>
        <v>000071</v>
      </c>
      <c r="K133" s="4">
        <v>42886</v>
      </c>
      <c r="L133" s="5" t="str">
        <f>"000214"</f>
        <v>000214</v>
      </c>
      <c r="M133" s="4">
        <v>42886</v>
      </c>
      <c r="N133" s="5">
        <v>17</v>
      </c>
      <c r="O133" s="5" t="str">
        <f>"007793"</f>
        <v>007793</v>
      </c>
      <c r="P133" s="4">
        <v>43444</v>
      </c>
      <c r="Q133" s="7">
        <v>49.543819999999997</v>
      </c>
      <c r="R133" s="7">
        <v>7.0434099999999997</v>
      </c>
      <c r="S133" s="7">
        <v>42.500410000000002</v>
      </c>
      <c r="T133" s="5">
        <v>301</v>
      </c>
      <c r="U133" s="4">
        <v>43455</v>
      </c>
      <c r="V133" s="5">
        <v>9900333496</v>
      </c>
      <c r="W133" s="6" t="s">
        <v>50</v>
      </c>
      <c r="X133" s="5" t="s">
        <v>57</v>
      </c>
      <c r="Y133" s="6" t="s">
        <v>56</v>
      </c>
      <c r="Z133" s="5" t="s">
        <v>47</v>
      </c>
      <c r="AA133" s="6" t="s">
        <v>46</v>
      </c>
      <c r="AB133" s="7">
        <f>Q133/100</f>
        <v>0.49543819999999994</v>
      </c>
      <c r="AD133" s="8"/>
      <c r="AF133" s="8"/>
      <c r="AG133" s="8"/>
    </row>
    <row r="134" spans="1:33" x14ac:dyDescent="0.2">
      <c r="A134" s="12">
        <v>8029</v>
      </c>
      <c r="B134" s="13" t="s">
        <v>38</v>
      </c>
      <c r="C134" s="13">
        <v>43455</v>
      </c>
      <c r="D134" s="5">
        <v>102</v>
      </c>
      <c r="E134" s="6" t="s">
        <v>53</v>
      </c>
      <c r="F134" s="5" t="s">
        <v>55</v>
      </c>
      <c r="G134" s="6" t="s">
        <v>54</v>
      </c>
      <c r="H134" s="5" t="str">
        <f>"000483"</f>
        <v>000483</v>
      </c>
      <c r="I134" s="4">
        <v>42808</v>
      </c>
      <c r="J134" s="5" t="str">
        <f>"000101"</f>
        <v>000101</v>
      </c>
      <c r="K134" s="4">
        <v>42886</v>
      </c>
      <c r="L134" s="5" t="str">
        <f>"000260"</f>
        <v>000260</v>
      </c>
      <c r="M134" s="4">
        <v>42886</v>
      </c>
      <c r="N134" s="5">
        <v>17</v>
      </c>
      <c r="O134" s="5" t="str">
        <f>"007804"</f>
        <v>007804</v>
      </c>
      <c r="P134" s="4">
        <v>43444</v>
      </c>
      <c r="Q134" s="7">
        <v>14.804539999999999</v>
      </c>
      <c r="R134" s="7">
        <v>2.11389</v>
      </c>
      <c r="S134" s="7">
        <v>12.69065</v>
      </c>
      <c r="T134" s="5">
        <v>301</v>
      </c>
      <c r="U134" s="4">
        <v>43455</v>
      </c>
      <c r="V134" s="5">
        <v>9900333496</v>
      </c>
      <c r="W134" s="6" t="s">
        <v>43</v>
      </c>
      <c r="X134" s="5" t="s">
        <v>49</v>
      </c>
      <c r="Y134" s="6" t="s">
        <v>48</v>
      </c>
      <c r="Z134" s="5" t="s">
        <v>47</v>
      </c>
      <c r="AA134" s="6" t="s">
        <v>46</v>
      </c>
      <c r="AB134" s="7">
        <f>Q134/100</f>
        <v>0.14804539999999999</v>
      </c>
      <c r="AD134" s="8"/>
      <c r="AF134" s="8"/>
      <c r="AG134" s="8"/>
    </row>
    <row r="135" spans="1:33" x14ac:dyDescent="0.2">
      <c r="A135" s="12">
        <v>8030</v>
      </c>
      <c r="B135" s="13" t="s">
        <v>38</v>
      </c>
      <c r="C135" s="13">
        <v>43455</v>
      </c>
      <c r="D135" s="5">
        <v>102</v>
      </c>
      <c r="E135" s="6" t="s">
        <v>53</v>
      </c>
      <c r="F135" s="5" t="s">
        <v>52</v>
      </c>
      <c r="G135" s="6" t="s">
        <v>51</v>
      </c>
      <c r="H135" s="5" t="str">
        <f>"000482"</f>
        <v>000482</v>
      </c>
      <c r="I135" s="4">
        <v>42808</v>
      </c>
      <c r="J135" s="5" t="str">
        <f>"000102"</f>
        <v>000102</v>
      </c>
      <c r="K135" s="4">
        <v>42886</v>
      </c>
      <c r="L135" s="5" t="str">
        <f>"000261"</f>
        <v>000261</v>
      </c>
      <c r="M135" s="4">
        <v>42886</v>
      </c>
      <c r="N135" s="5">
        <v>17</v>
      </c>
      <c r="O135" s="5" t="str">
        <f>"007805"</f>
        <v>007805</v>
      </c>
      <c r="P135" s="4">
        <v>43444</v>
      </c>
      <c r="Q135" s="7">
        <v>19.68777</v>
      </c>
      <c r="R135" s="7">
        <v>2.8014199999999998</v>
      </c>
      <c r="S135" s="7">
        <v>16.88635</v>
      </c>
      <c r="T135" s="5">
        <v>301</v>
      </c>
      <c r="U135" s="4">
        <v>43455</v>
      </c>
      <c r="V135" s="5">
        <v>9900333496</v>
      </c>
      <c r="W135" s="6" t="s">
        <v>50</v>
      </c>
      <c r="X135" s="5" t="s">
        <v>49</v>
      </c>
      <c r="Y135" s="6" t="s">
        <v>48</v>
      </c>
      <c r="Z135" s="5" t="s">
        <v>47</v>
      </c>
      <c r="AA135" s="6" t="s">
        <v>46</v>
      </c>
      <c r="AB135" s="7">
        <f>Q135/100</f>
        <v>0.19687770000000002</v>
      </c>
      <c r="AD135" s="8"/>
      <c r="AF135" s="8"/>
      <c r="AG13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2019-01-17T07:34:45Z</dcterms:modified>
</cp:coreProperties>
</file>