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esktop\2018-19 H1\1st April 2018 to 30th Sep 2018 BR Jobcode Tender WBB For ICMYC\BR 198\"/>
    </mc:Choice>
  </mc:AlternateContent>
  <bookViews>
    <workbookView xWindow="0" yWindow="0" windowWidth="1536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" i="1" l="1"/>
  <c r="J2" i="1"/>
  <c r="L2" i="1"/>
  <c r="O2" i="1"/>
  <c r="H3" i="1"/>
  <c r="J3" i="1"/>
  <c r="L3" i="1"/>
  <c r="O3" i="1"/>
  <c r="H4" i="1"/>
  <c r="J4" i="1"/>
  <c r="L4" i="1"/>
  <c r="O4" i="1"/>
  <c r="H5" i="1"/>
  <c r="J5" i="1"/>
  <c r="L5" i="1"/>
  <c r="O5" i="1"/>
  <c r="H6" i="1"/>
  <c r="J6" i="1"/>
  <c r="L6" i="1"/>
  <c r="O6" i="1"/>
  <c r="H7" i="1"/>
  <c r="J7" i="1"/>
  <c r="L7" i="1"/>
  <c r="O7" i="1"/>
  <c r="H8" i="1"/>
  <c r="J8" i="1"/>
  <c r="L8" i="1"/>
  <c r="O8" i="1"/>
  <c r="H9" i="1"/>
  <c r="J9" i="1"/>
  <c r="L9" i="1"/>
  <c r="O9" i="1"/>
  <c r="H10" i="1"/>
  <c r="J10" i="1"/>
  <c r="L10" i="1"/>
  <c r="O10" i="1"/>
  <c r="H11" i="1"/>
  <c r="J11" i="1"/>
  <c r="L11" i="1"/>
  <c r="O11" i="1"/>
  <c r="H12" i="1"/>
  <c r="J12" i="1"/>
  <c r="L12" i="1"/>
  <c r="O12" i="1"/>
  <c r="H13" i="1"/>
  <c r="J13" i="1"/>
  <c r="L13" i="1"/>
  <c r="O13" i="1"/>
  <c r="H14" i="1"/>
  <c r="J14" i="1"/>
  <c r="L14" i="1"/>
  <c r="O14" i="1"/>
  <c r="H15" i="1"/>
  <c r="J15" i="1"/>
  <c r="L15" i="1"/>
  <c r="O15" i="1"/>
  <c r="H16" i="1"/>
  <c r="J16" i="1"/>
  <c r="L16" i="1"/>
  <c r="O16" i="1"/>
  <c r="H17" i="1"/>
  <c r="J17" i="1"/>
  <c r="L17" i="1"/>
  <c r="O17" i="1"/>
  <c r="H18" i="1"/>
  <c r="J18" i="1"/>
  <c r="L18" i="1"/>
  <c r="O18" i="1"/>
  <c r="H19" i="1"/>
  <c r="J19" i="1"/>
  <c r="L19" i="1"/>
  <c r="O19" i="1"/>
  <c r="H20" i="1"/>
  <c r="J20" i="1"/>
  <c r="L20" i="1"/>
  <c r="O20" i="1"/>
  <c r="H21" i="1"/>
  <c r="J21" i="1"/>
  <c r="L21" i="1"/>
  <c r="O21" i="1"/>
  <c r="H22" i="1"/>
  <c r="J22" i="1"/>
  <c r="L22" i="1"/>
  <c r="O22" i="1"/>
  <c r="H23" i="1"/>
  <c r="J23" i="1"/>
  <c r="L23" i="1"/>
  <c r="O23" i="1"/>
  <c r="H24" i="1"/>
  <c r="J24" i="1"/>
  <c r="L24" i="1"/>
  <c r="O24" i="1"/>
  <c r="H25" i="1"/>
  <c r="J25" i="1"/>
  <c r="L25" i="1"/>
  <c r="O25" i="1"/>
  <c r="H26" i="1"/>
  <c r="J26" i="1"/>
  <c r="L26" i="1"/>
  <c r="O26" i="1"/>
  <c r="H27" i="1"/>
  <c r="J27" i="1"/>
  <c r="L27" i="1"/>
  <c r="O27" i="1"/>
  <c r="AB27" i="1"/>
  <c r="H28" i="1"/>
  <c r="J28" i="1"/>
  <c r="L28" i="1"/>
  <c r="O28" i="1"/>
  <c r="AB28" i="1"/>
  <c r="H29" i="1"/>
  <c r="J29" i="1"/>
  <c r="L29" i="1"/>
  <c r="O29" i="1"/>
  <c r="AB29" i="1"/>
  <c r="H30" i="1"/>
  <c r="J30" i="1"/>
  <c r="L30" i="1"/>
  <c r="O30" i="1"/>
  <c r="AB30" i="1"/>
  <c r="H31" i="1"/>
  <c r="J31" i="1"/>
  <c r="L31" i="1"/>
  <c r="O31" i="1"/>
  <c r="AB31" i="1"/>
  <c r="H32" i="1"/>
  <c r="J32" i="1"/>
  <c r="L32" i="1"/>
  <c r="O32" i="1"/>
  <c r="AB32" i="1"/>
  <c r="H33" i="1"/>
  <c r="J33" i="1"/>
  <c r="L33" i="1"/>
  <c r="O33" i="1"/>
  <c r="AB33" i="1"/>
  <c r="H34" i="1"/>
  <c r="J34" i="1"/>
  <c r="L34" i="1"/>
  <c r="O34" i="1"/>
  <c r="AB34" i="1"/>
  <c r="H35" i="1"/>
  <c r="J35" i="1"/>
  <c r="L35" i="1"/>
  <c r="O35" i="1"/>
  <c r="AB35" i="1"/>
  <c r="H36" i="1"/>
  <c r="J36" i="1"/>
  <c r="L36" i="1"/>
  <c r="O36" i="1"/>
  <c r="AB36" i="1"/>
  <c r="H37" i="1"/>
  <c r="J37" i="1"/>
  <c r="L37" i="1"/>
  <c r="O37" i="1"/>
  <c r="AB37" i="1"/>
  <c r="H38" i="1"/>
  <c r="J38" i="1"/>
  <c r="L38" i="1"/>
  <c r="O38" i="1"/>
  <c r="AB38" i="1"/>
  <c r="H39" i="1"/>
  <c r="J39" i="1"/>
  <c r="L39" i="1"/>
  <c r="O39" i="1"/>
  <c r="AB39" i="1"/>
  <c r="H40" i="1"/>
  <c r="J40" i="1"/>
  <c r="L40" i="1"/>
  <c r="O40" i="1"/>
  <c r="AB40" i="1"/>
</calcChain>
</file>

<file path=xl/sharedStrings.xml><?xml version="1.0" encoding="utf-8"?>
<sst xmlns="http://schemas.openxmlformats.org/spreadsheetml/2006/main" count="379" uniqueCount="156">
  <si>
    <t>SL No</t>
  </si>
  <si>
    <t>Month</t>
  </si>
  <si>
    <t>Date</t>
  </si>
  <si>
    <t>Ward_No</t>
  </si>
  <si>
    <t>Ward_Name</t>
  </si>
  <si>
    <t>Job_Code</t>
  </si>
  <si>
    <t>Job_Description</t>
  </si>
  <si>
    <t>Work_ Order</t>
  </si>
  <si>
    <t>Work_Order_Date</t>
  </si>
  <si>
    <t>Sub Bill Register_No</t>
  </si>
  <si>
    <t>Sub Bill Register_Date</t>
  </si>
  <si>
    <t>Bill Register No</t>
  </si>
  <si>
    <t>Bill Register Date</t>
  </si>
  <si>
    <t>Job Code Year</t>
  </si>
  <si>
    <t>CBR_No</t>
  </si>
  <si>
    <t>CBR_Date</t>
  </si>
  <si>
    <t>Gross_ Amount In Lakhs</t>
  </si>
  <si>
    <t>Deduction In Lakhs</t>
  </si>
  <si>
    <t>Nett_ Amount In Lakhs</t>
  </si>
  <si>
    <t>RTGS_No</t>
  </si>
  <si>
    <t>RTGS_Date</t>
  </si>
  <si>
    <t>Contractor Number</t>
  </si>
  <si>
    <t>Contractor_Name</t>
  </si>
  <si>
    <t>P_Code</t>
  </si>
  <si>
    <t>Budget_Head</t>
  </si>
  <si>
    <t>Budget_ Head_ID</t>
  </si>
  <si>
    <t>Engineer Details</t>
  </si>
  <si>
    <t>Gross_ Amount In Cr</t>
  </si>
  <si>
    <t>P3158</t>
  </si>
  <si>
    <t>SIP Infrastructure Project works</t>
  </si>
  <si>
    <t>August</t>
  </si>
  <si>
    <t>P1771</t>
  </si>
  <si>
    <t>Zone Works - POW Works</t>
  </si>
  <si>
    <t>July</t>
  </si>
  <si>
    <t>P0300</t>
  </si>
  <si>
    <t>M and R to Street Lights - Replacement of Burnt Bulbs etc. (Package)</t>
  </si>
  <si>
    <t>May</t>
  </si>
  <si>
    <t>September</t>
  </si>
  <si>
    <t>December</t>
  </si>
  <si>
    <t>October</t>
  </si>
  <si>
    <t xml:space="preserve"> Assistant Executive Engineer Electrical West Zone</t>
  </si>
  <si>
    <t>ddo209</t>
  </si>
  <si>
    <t>State Finance Commission Untied Grant Works</t>
  </si>
  <si>
    <t>P3111</t>
  </si>
  <si>
    <t>April</t>
  </si>
  <si>
    <t>18per - Works (Bhagyajyothi, Sooru / Neeru Yojane and General) (54 Lakhs / New Wards)</t>
  </si>
  <si>
    <t>P1878</t>
  </si>
  <si>
    <t>Water Supply New Areas</t>
  </si>
  <si>
    <t>P1802</t>
  </si>
  <si>
    <t>June</t>
  </si>
  <si>
    <t>Assembly Constituency Development Works under BBMP</t>
  </si>
  <si>
    <t>P2201</t>
  </si>
  <si>
    <t>Works sanctioned by Dy. Mayor</t>
  </si>
  <si>
    <t>P2178</t>
  </si>
  <si>
    <t>Fencing of BBMP Properties (Other than gardens, parks)</t>
  </si>
  <si>
    <t>P0607</t>
  </si>
  <si>
    <t>November</t>
  </si>
  <si>
    <t>Nagarothana Works</t>
  </si>
  <si>
    <t>P3106</t>
  </si>
  <si>
    <t>Works sanctioned by Hon Mayor</t>
  </si>
  <si>
    <t>P0190</t>
  </si>
  <si>
    <t xml:space="preserve"> Executive Engineer SWM 1 Central Zone</t>
  </si>
  <si>
    <t>ddo326</t>
  </si>
  <si>
    <t>Executive Engineer, KRIDL</t>
  </si>
  <si>
    <t xml:space="preserve"> Assistant Executive Engineer Govidaraj Nagar West Zone</t>
  </si>
  <si>
    <t>ddo267</t>
  </si>
  <si>
    <t>Technical Manager West KRIDL</t>
  </si>
  <si>
    <t>Sai Electric Com</t>
  </si>
  <si>
    <t xml:space="preserve">The Executive Engineer 2 </t>
  </si>
  <si>
    <t>Technical Manger West KRIDL</t>
  </si>
  <si>
    <t>BVH Consulting Engineers</t>
  </si>
  <si>
    <t>N S Nayak and Sons prop Sheshagiri Narayana Nayak</t>
  </si>
  <si>
    <t>N M Krishnamurthy</t>
  </si>
  <si>
    <t>Development of Balagangadharanatha Swamiji play ground at M C layout in ward no-104</t>
  </si>
  <si>
    <t>104-16-000033</t>
  </si>
  <si>
    <t>Govindaraja Nagara</t>
  </si>
  <si>
    <t>Driling of Borewells with pipeline at various places in Govindarajanagar  ward -104</t>
  </si>
  <si>
    <t>104-13-000021</t>
  </si>
  <si>
    <t>Construction of Ward Offices</t>
  </si>
  <si>
    <t>P1808</t>
  </si>
  <si>
    <t>Construction and Development works of BBMP Palike Soudha 3rd stage in ward no 104 Govindarajanagara</t>
  </si>
  <si>
    <t>104-18-000001</t>
  </si>
  <si>
    <t>Providing CC Camera in parks and roads in ward no Jurisdiction in ward no 104</t>
  </si>
  <si>
    <t>104-16-000035</t>
  </si>
  <si>
    <t>Development of drains and footpath in 18th and 20th cross of CHBS Layout and 1st cross of Corporation Colony Via HVR Layout in ward no.104. Govindarajanagar</t>
  </si>
  <si>
    <t>104-17-000034</t>
  </si>
  <si>
    <t>Drilling of borewells and providing pipeline in ward no 104 Govindarajanagara and surroundings area</t>
  </si>
  <si>
    <t>104-18-000004</t>
  </si>
  <si>
    <t>Landscape Development Of Parks/Medians/Boulevants and Circles(Janoodya Works)</t>
  </si>
  <si>
    <t>P0311</t>
  </si>
  <si>
    <t>Providing M S grill ornamental grill and other development  works at CHBS park in  Ward no-104 Govindrajnagar</t>
  </si>
  <si>
    <t>104-17-000018</t>
  </si>
  <si>
    <t>Providing cement concrete and Improvements to drain at 4th main road Govindarajanagar and surrounding area in ward no 104 Govindarajanagar</t>
  </si>
  <si>
    <t>104-17-000003</t>
  </si>
  <si>
    <t>Comprehansive development of roads. drains and other works in Govindarajanagara ward No.104</t>
  </si>
  <si>
    <t>104-17-000035</t>
  </si>
  <si>
    <t>Improvements to drain at 23rd cross Govindarajanagara in ward No.104</t>
  </si>
  <si>
    <t>104-17-000031</t>
  </si>
  <si>
    <t>Formation of footpath and Improvements to drain at 6th main road of M C Layout (Syndicate Bank Road) in ward no 104 Govindarajanagar</t>
  </si>
  <si>
    <t>104-17-000005</t>
  </si>
  <si>
    <t>Improvements to drain in 1st cross and 2nd cross of Prashantha nagar in Govindarajangar ward No.104</t>
  </si>
  <si>
    <t>104-17-000023</t>
  </si>
  <si>
    <t>Providing Flagging Cource and BS slab covering at 11th and 12th, 13th cross MRCR Layout in ward no. 104</t>
  </si>
  <si>
    <t>104-16-000005</t>
  </si>
  <si>
    <t>Formation of footpath and Improvements to drain 8th cross and 9th cross prashanth nagar in ward no 104</t>
  </si>
  <si>
    <t>104-17-000008</t>
  </si>
  <si>
    <t>Reconstruction of culverts and Regrading of drains at 5th 6th 7th 10th 10th A cross and 1st A B main Roads of Prashanth Nagar in ward no 104 Govindarajanagar</t>
  </si>
  <si>
    <t>104-17-000002</t>
  </si>
  <si>
    <t>Annual Operation And maintenance Of Street Lights at Govindrajnagara in Ward No- 104</t>
  </si>
  <si>
    <t>104-16-000001</t>
  </si>
  <si>
    <t>T R Shivakumar</t>
  </si>
  <si>
    <t>Sinking of borwell and providing distribution line at 23rd cross corporation colony Govindrajanagar in ward no-104</t>
  </si>
  <si>
    <t>104-15-000018</t>
  </si>
  <si>
    <t xml:space="preserve">Providing Water Supply delivery lines to existing borewells at govindarajanagar in Ward No-104 </t>
  </si>
  <si>
    <t>104-15-000014</t>
  </si>
  <si>
    <t>Sinking of borwell and providing distribution line at 6th cross Govindrajanagar in ward no-104</t>
  </si>
  <si>
    <t>104-15-000020</t>
  </si>
  <si>
    <t>Sinking of borwell and providing distribution line at 25th cross corporation colony Govindrajanagar in ward no-104</t>
  </si>
  <si>
    <t>104-15-000019</t>
  </si>
  <si>
    <t>Sinking of borwell and providing distribution line at 12th cross MRCR layout in ward no-104</t>
  </si>
  <si>
    <t>104-15-000016</t>
  </si>
  <si>
    <t>Sinking of borwell and providing distribution line at 1st cross corporation colony Govindrajanagar in ward no-104</t>
  </si>
  <si>
    <t>104-15-000017</t>
  </si>
  <si>
    <t>Executive Engineer-2, KRIDL</t>
  </si>
  <si>
    <t>Development of works at kabbadi ground park in Ward no-104 Govindrajnagar</t>
  </si>
  <si>
    <t>104-17-000017</t>
  </si>
  <si>
    <t>Providing and fixing pargola and dustbin to kabadi ground park and prashanthi vana park in Ward no-104 Govindrajnagar</t>
  </si>
  <si>
    <t>104-17-000016</t>
  </si>
  <si>
    <t>Improvements of shree krishna park at Thimmenahali in Ward no-104 Govindrajnagar</t>
  </si>
  <si>
    <t>104-17-000019</t>
  </si>
  <si>
    <t xml:space="preserve">Drilling of borewell and Providing Pipeline in ward Jurisidiction in ward No. 104 </t>
  </si>
  <si>
    <t>104-17-000027</t>
  </si>
  <si>
    <t>Balance work of construction of Library building at bule park in ward no 104 Govindarajanagar</t>
  </si>
  <si>
    <t>104-17-000007</t>
  </si>
  <si>
    <t>Maintenance and Management of Parks on Contract</t>
  </si>
  <si>
    <t>P0088</t>
  </si>
  <si>
    <t>The Technical Manager</t>
  </si>
  <si>
    <t>Providing lightings system to high tension park kabbadi ground park, CHBS layout park opp to CPWD quaters etc in ward no 104</t>
  </si>
  <si>
    <t>104-16-000021</t>
  </si>
  <si>
    <t>Beautification of footpath and Construction of drains and Culverts in 22nd cross of 80ft road and 1st main of Govindarajanagar in ward no.104</t>
  </si>
  <si>
    <t>104-17-000033</t>
  </si>
  <si>
    <t>Development of Park in Govindarajanagara in Ward No 104</t>
  </si>
  <si>
    <t>104-18-000014</t>
  </si>
  <si>
    <t>Providing BBMP Property Production in Alidas layout and service road MRCR layout Opposite CPWD Qters (Vivekananda Park) in ward no 104 Govindarajanagar</t>
  </si>
  <si>
    <t>104-17-000001</t>
  </si>
  <si>
    <t>H Narsegowda</t>
  </si>
  <si>
    <t>Engaging Private Labours for ward Maintenance for the year 2015-16 in ward No.104</t>
  </si>
  <si>
    <t>104-16-000002</t>
  </si>
  <si>
    <t>Executive Engineer KRIDL</t>
  </si>
  <si>
    <t>Providing LED lights and CC camera to corporation colony in ward no-104</t>
  </si>
  <si>
    <t>104-18-000041</t>
  </si>
  <si>
    <t>Construction of Multipurpose building at MRCR layout 2nd phase in ward no 104 Govindarajanagara</t>
  </si>
  <si>
    <t>104-16-000034</t>
  </si>
  <si>
    <t>Sree Mamatha Electrical Enterprises</t>
  </si>
  <si>
    <t>Providing LED Street Lights in Govindarajangara Ward No.104</t>
  </si>
  <si>
    <t>104-16-000006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</si>
</sst>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5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2" fontId="2" fillId="0" borderId="1" xfId="0" applyNumberFormat="1" applyFont="1" applyBorder="1" applyAlignment="1">
      <alignment horizontal="right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1" fontId="2" fillId="0" borderId="1" xfId="0" applyNumberFormat="1" applyFont="1" applyBorder="1" applyAlignment="1">
      <alignment horizontal="left" vertical="center"/>
    </xf>
    <xf numFmtId="15" fontId="2" fillId="0" borderId="1" xfId="0" applyNumberFormat="1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0"/>
  <sheetViews>
    <sheetView tabSelected="1" workbookViewId="0">
      <selection activeCell="A2" sqref="A2:XFD40"/>
    </sheetView>
  </sheetViews>
  <sheetFormatPr defaultRowHeight="12.75" x14ac:dyDescent="0.2"/>
  <cols>
    <col min="1" max="1" width="5.42578125" style="9" bestFit="1" customWidth="1"/>
    <col min="2" max="2" width="9.140625" style="9"/>
    <col min="3" max="3" width="9.5703125" style="9" bestFit="1" customWidth="1"/>
    <col min="4" max="4" width="8.42578125" style="9" bestFit="1" customWidth="1"/>
    <col min="5" max="5" width="16.28515625" style="10" bestFit="1" customWidth="1"/>
    <col min="6" max="6" width="13.28515625" style="10" bestFit="1" customWidth="1"/>
    <col min="7" max="7" width="29.7109375" style="10" customWidth="1"/>
    <col min="8" max="8" width="9.140625" style="10"/>
    <col min="9" max="9" width="9.140625" style="9"/>
    <col min="10" max="10" width="9.140625" style="8"/>
    <col min="11" max="20" width="9.140625" style="9"/>
    <col min="21" max="23" width="9.140625" style="11"/>
    <col min="24" max="26" width="9.140625" style="9"/>
    <col min="27" max="27" width="9.140625" style="8"/>
    <col min="28" max="28" width="9.140625" style="9"/>
    <col min="29" max="29" width="9.140625" style="8"/>
    <col min="30" max="30" width="9.140625" style="9"/>
    <col min="31" max="31" width="9.140625" style="8"/>
    <col min="32" max="33" width="9.140625" style="9"/>
    <col min="34" max="16384" width="9.140625" style="8"/>
  </cols>
  <sheetData>
    <row r="1" spans="1:33" s="3" customFormat="1" ht="26.2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1" t="s">
        <v>14</v>
      </c>
      <c r="P1" s="1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1" t="s">
        <v>20</v>
      </c>
      <c r="V1" s="2" t="s">
        <v>21</v>
      </c>
      <c r="W1" s="1" t="s">
        <v>22</v>
      </c>
      <c r="X1" s="1" t="s">
        <v>23</v>
      </c>
      <c r="Y1" s="1" t="s">
        <v>24</v>
      </c>
      <c r="Z1" s="2" t="s">
        <v>25</v>
      </c>
      <c r="AA1" s="1" t="s">
        <v>26</v>
      </c>
      <c r="AB1" s="2" t="s">
        <v>27</v>
      </c>
    </row>
    <row r="2" spans="1:33" x14ac:dyDescent="0.2">
      <c r="A2" s="12">
        <v>406</v>
      </c>
      <c r="B2" s="13" t="s">
        <v>44</v>
      </c>
      <c r="C2" s="13">
        <v>43200</v>
      </c>
      <c r="D2" s="5">
        <v>104</v>
      </c>
      <c r="E2" s="6" t="s">
        <v>75</v>
      </c>
      <c r="F2" s="5" t="s">
        <v>155</v>
      </c>
      <c r="G2" s="6" t="s">
        <v>154</v>
      </c>
      <c r="H2" s="5" t="str">
        <f>"000005"</f>
        <v>000005</v>
      </c>
      <c r="I2" s="4">
        <v>42522</v>
      </c>
      <c r="J2" s="5" t="str">
        <f>"000091"</f>
        <v>000091</v>
      </c>
      <c r="K2" s="4">
        <v>42831</v>
      </c>
      <c r="L2" s="5" t="str">
        <f>"000196"</f>
        <v>000196</v>
      </c>
      <c r="M2" s="4">
        <v>42726</v>
      </c>
      <c r="N2" s="5">
        <v>16</v>
      </c>
      <c r="O2" s="5" t="str">
        <f>"000407"</f>
        <v>000407</v>
      </c>
      <c r="P2" s="4">
        <v>43197</v>
      </c>
      <c r="Q2" s="7">
        <v>7.0650399999999998</v>
      </c>
      <c r="R2" s="7">
        <v>0.91710000000000003</v>
      </c>
      <c r="S2" s="7">
        <v>6.1479400000000002</v>
      </c>
      <c r="T2" s="5">
        <v>10</v>
      </c>
      <c r="U2" s="4">
        <v>43200</v>
      </c>
      <c r="V2" s="5">
        <v>8723234287</v>
      </c>
      <c r="W2" s="6" t="s">
        <v>153</v>
      </c>
      <c r="X2" s="5" t="s">
        <v>31</v>
      </c>
      <c r="Y2" s="6" t="s">
        <v>32</v>
      </c>
      <c r="Z2" s="5" t="s">
        <v>41</v>
      </c>
      <c r="AA2" s="6" t="s">
        <v>40</v>
      </c>
      <c r="AB2" s="7">
        <v>7.0650400000000002E-2</v>
      </c>
      <c r="AD2" s="8"/>
      <c r="AF2" s="8"/>
      <c r="AG2" s="8"/>
    </row>
    <row r="3" spans="1:33" x14ac:dyDescent="0.2">
      <c r="A3" s="12">
        <v>825</v>
      </c>
      <c r="B3" s="13" t="s">
        <v>36</v>
      </c>
      <c r="C3" s="13">
        <v>43225</v>
      </c>
      <c r="D3" s="5">
        <v>104</v>
      </c>
      <c r="E3" s="6" t="s">
        <v>75</v>
      </c>
      <c r="F3" s="5" t="s">
        <v>152</v>
      </c>
      <c r="G3" s="6" t="s">
        <v>151</v>
      </c>
      <c r="H3" s="5" t="str">
        <f>"000067"</f>
        <v>000067</v>
      </c>
      <c r="I3" s="4">
        <v>42684</v>
      </c>
      <c r="J3" s="5" t="str">
        <f>"000157"</f>
        <v>000157</v>
      </c>
      <c r="K3" s="4">
        <v>42765</v>
      </c>
      <c r="L3" s="5" t="str">
        <f>"00.012"</f>
        <v>00.012</v>
      </c>
      <c r="M3" s="4">
        <v>42836</v>
      </c>
      <c r="N3" s="5">
        <v>16</v>
      </c>
      <c r="O3" s="5" t="str">
        <f>"001042"</f>
        <v>001042</v>
      </c>
      <c r="P3" s="4">
        <v>43223</v>
      </c>
      <c r="Q3" s="7">
        <v>49.665840000000003</v>
      </c>
      <c r="R3" s="7">
        <v>6.2061999999999999</v>
      </c>
      <c r="S3" s="7">
        <v>43.45964</v>
      </c>
      <c r="T3" s="5">
        <v>38</v>
      </c>
      <c r="U3" s="4">
        <v>43225</v>
      </c>
      <c r="V3" s="5">
        <v>9845118582</v>
      </c>
      <c r="W3" s="6" t="s">
        <v>123</v>
      </c>
      <c r="X3" s="5" t="s">
        <v>53</v>
      </c>
      <c r="Y3" s="6" t="s">
        <v>52</v>
      </c>
      <c r="Z3" s="5" t="s">
        <v>62</v>
      </c>
      <c r="AA3" s="6" t="s">
        <v>61</v>
      </c>
      <c r="AB3" s="7">
        <v>0.49665840000000006</v>
      </c>
      <c r="AD3" s="8"/>
      <c r="AF3" s="8"/>
      <c r="AG3" s="8"/>
    </row>
    <row r="4" spans="1:33" x14ac:dyDescent="0.2">
      <c r="A4" s="12">
        <v>893</v>
      </c>
      <c r="B4" s="13" t="s">
        <v>36</v>
      </c>
      <c r="C4" s="13">
        <v>43228</v>
      </c>
      <c r="D4" s="5">
        <v>104</v>
      </c>
      <c r="E4" s="6" t="s">
        <v>75</v>
      </c>
      <c r="F4" s="5" t="s">
        <v>150</v>
      </c>
      <c r="G4" s="6" t="s">
        <v>149</v>
      </c>
      <c r="H4" s="5" t="str">
        <f>"000175"</f>
        <v>000175</v>
      </c>
      <c r="I4" s="4">
        <v>43181</v>
      </c>
      <c r="J4" s="5" t="str">
        <f>"000023"</f>
        <v>000023</v>
      </c>
      <c r="K4" s="4">
        <v>43214</v>
      </c>
      <c r="L4" s="5" t="str">
        <f>"000023"</f>
        <v>000023</v>
      </c>
      <c r="M4" s="4">
        <v>43214</v>
      </c>
      <c r="N4" s="5">
        <v>18</v>
      </c>
      <c r="O4" s="5" t="str">
        <f>"001068"</f>
        <v>001068</v>
      </c>
      <c r="P4" s="4">
        <v>43224</v>
      </c>
      <c r="Q4" s="7">
        <v>24.996289999999998</v>
      </c>
      <c r="R4" s="7">
        <v>3.1495799999999998</v>
      </c>
      <c r="S4" s="7">
        <v>21.846710000000002</v>
      </c>
      <c r="T4" s="5">
        <v>42</v>
      </c>
      <c r="U4" s="4">
        <v>43228</v>
      </c>
      <c r="V4" s="5">
        <v>7026263338</v>
      </c>
      <c r="W4" s="6" t="s">
        <v>148</v>
      </c>
      <c r="X4" s="5" t="s">
        <v>46</v>
      </c>
      <c r="Y4" s="6" t="s">
        <v>45</v>
      </c>
      <c r="Z4" s="5" t="s">
        <v>41</v>
      </c>
      <c r="AA4" s="6" t="s">
        <v>40</v>
      </c>
      <c r="AB4" s="7">
        <v>0.24996289999999999</v>
      </c>
      <c r="AD4" s="8"/>
      <c r="AF4" s="8"/>
      <c r="AG4" s="8"/>
    </row>
    <row r="5" spans="1:33" x14ac:dyDescent="0.2">
      <c r="A5" s="12">
        <v>1124</v>
      </c>
      <c r="B5" s="13" t="s">
        <v>36</v>
      </c>
      <c r="C5" s="13">
        <v>43230</v>
      </c>
      <c r="D5" s="5">
        <v>104</v>
      </c>
      <c r="E5" s="6" t="s">
        <v>75</v>
      </c>
      <c r="F5" s="5" t="s">
        <v>147</v>
      </c>
      <c r="G5" s="6" t="s">
        <v>146</v>
      </c>
      <c r="H5" s="5" t="str">
        <f>"000067"</f>
        <v>000067</v>
      </c>
      <c r="I5" s="4">
        <v>42433</v>
      </c>
      <c r="J5" s="5" t="str">
        <f>"000106"</f>
        <v>000106</v>
      </c>
      <c r="K5" s="4">
        <v>42735</v>
      </c>
      <c r="L5" s="5" t="str">
        <f>"000723"</f>
        <v>000723</v>
      </c>
      <c r="M5" s="4">
        <v>42766</v>
      </c>
      <c r="N5" s="5">
        <v>16</v>
      </c>
      <c r="O5" s="5" t="str">
        <f>"001333"</f>
        <v>001333</v>
      </c>
      <c r="P5" s="4">
        <v>43229</v>
      </c>
      <c r="Q5" s="7">
        <v>1.5128900000000001</v>
      </c>
      <c r="R5" s="7">
        <v>0.16839999999999999</v>
      </c>
      <c r="S5" s="7">
        <v>1.34449</v>
      </c>
      <c r="T5" s="5">
        <v>48</v>
      </c>
      <c r="U5" s="4">
        <v>43230</v>
      </c>
      <c r="V5" s="5">
        <v>7899324448</v>
      </c>
      <c r="W5" s="6" t="s">
        <v>145</v>
      </c>
      <c r="X5" s="5" t="s">
        <v>31</v>
      </c>
      <c r="Y5" s="6" t="s">
        <v>32</v>
      </c>
      <c r="Z5" s="5" t="s">
        <v>65</v>
      </c>
      <c r="AA5" s="6" t="s">
        <v>64</v>
      </c>
      <c r="AB5" s="7">
        <v>1.5128900000000001E-2</v>
      </c>
      <c r="AD5" s="8"/>
      <c r="AF5" s="8"/>
      <c r="AG5" s="8"/>
    </row>
    <row r="6" spans="1:33" x14ac:dyDescent="0.2">
      <c r="A6" s="12">
        <v>1125</v>
      </c>
      <c r="B6" s="13" t="s">
        <v>36</v>
      </c>
      <c r="C6" s="13">
        <v>43230</v>
      </c>
      <c r="D6" s="5">
        <v>104</v>
      </c>
      <c r="E6" s="6" t="s">
        <v>75</v>
      </c>
      <c r="F6" s="5" t="s">
        <v>144</v>
      </c>
      <c r="G6" s="6" t="s">
        <v>143</v>
      </c>
      <c r="H6" s="5" t="str">
        <f>"000056"</f>
        <v>000056</v>
      </c>
      <c r="I6" s="4">
        <v>42639</v>
      </c>
      <c r="J6" s="5" t="str">
        <f>"000119"</f>
        <v>000119</v>
      </c>
      <c r="K6" s="4">
        <v>42766</v>
      </c>
      <c r="L6" s="5" t="str">
        <f>"000724"</f>
        <v>000724</v>
      </c>
      <c r="M6" s="4">
        <v>42766</v>
      </c>
      <c r="N6" s="5">
        <v>17</v>
      </c>
      <c r="O6" s="5" t="str">
        <f>"001334"</f>
        <v>001334</v>
      </c>
      <c r="P6" s="4">
        <v>43229</v>
      </c>
      <c r="Q6" s="7">
        <v>49.995179999999998</v>
      </c>
      <c r="R6" s="7">
        <v>6.9519200000000003</v>
      </c>
      <c r="S6" s="7">
        <v>43.043259999999997</v>
      </c>
      <c r="T6" s="5">
        <v>48</v>
      </c>
      <c r="U6" s="4">
        <v>43230</v>
      </c>
      <c r="V6" s="5">
        <v>9900000000</v>
      </c>
      <c r="W6" s="6" t="s">
        <v>69</v>
      </c>
      <c r="X6" s="5" t="s">
        <v>55</v>
      </c>
      <c r="Y6" s="6" t="s">
        <v>54</v>
      </c>
      <c r="Z6" s="5" t="s">
        <v>65</v>
      </c>
      <c r="AA6" s="6" t="s">
        <v>64</v>
      </c>
      <c r="AB6" s="7">
        <v>0.4999518</v>
      </c>
      <c r="AD6" s="8"/>
      <c r="AF6" s="8"/>
      <c r="AG6" s="8"/>
    </row>
    <row r="7" spans="1:33" x14ac:dyDescent="0.2">
      <c r="A7" s="12">
        <v>1329</v>
      </c>
      <c r="B7" s="13" t="s">
        <v>36</v>
      </c>
      <c r="C7" s="13">
        <v>43241</v>
      </c>
      <c r="D7" s="5">
        <v>104</v>
      </c>
      <c r="E7" s="6" t="s">
        <v>75</v>
      </c>
      <c r="F7" s="5" t="s">
        <v>142</v>
      </c>
      <c r="G7" s="6" t="s">
        <v>141</v>
      </c>
      <c r="H7" s="5" t="str">
        <f>"000202"</f>
        <v>000202</v>
      </c>
      <c r="I7" s="4">
        <v>43146</v>
      </c>
      <c r="J7" s="5" t="str">
        <f>"000014"</f>
        <v>000014</v>
      </c>
      <c r="K7" s="4">
        <v>43219</v>
      </c>
      <c r="L7" s="5" t="str">
        <f>"000027"</f>
        <v>000027</v>
      </c>
      <c r="M7" s="4">
        <v>43219</v>
      </c>
      <c r="N7" s="5">
        <v>18</v>
      </c>
      <c r="O7" s="5" t="str">
        <f>"001506"</f>
        <v>001506</v>
      </c>
      <c r="P7" s="4">
        <v>43237</v>
      </c>
      <c r="Q7" s="7">
        <v>39.983310000000003</v>
      </c>
      <c r="R7" s="7">
        <v>3.2961</v>
      </c>
      <c r="S7" s="7">
        <v>36.68721</v>
      </c>
      <c r="T7" s="5">
        <v>54</v>
      </c>
      <c r="U7" s="4">
        <v>43241</v>
      </c>
      <c r="V7" s="5">
        <v>9900000000</v>
      </c>
      <c r="W7" s="6" t="s">
        <v>66</v>
      </c>
      <c r="X7" s="5" t="s">
        <v>43</v>
      </c>
      <c r="Y7" s="6" t="s">
        <v>42</v>
      </c>
      <c r="Z7" s="5" t="s">
        <v>65</v>
      </c>
      <c r="AA7" s="6" t="s">
        <v>64</v>
      </c>
      <c r="AB7" s="7">
        <v>0.39983310000000005</v>
      </c>
      <c r="AD7" s="8"/>
      <c r="AF7" s="8"/>
      <c r="AG7" s="8"/>
    </row>
    <row r="8" spans="1:33" x14ac:dyDescent="0.2">
      <c r="A8" s="12">
        <v>1845</v>
      </c>
      <c r="B8" s="13" t="s">
        <v>49</v>
      </c>
      <c r="C8" s="13">
        <v>43257</v>
      </c>
      <c r="D8" s="5">
        <v>104</v>
      </c>
      <c r="E8" s="6" t="s">
        <v>75</v>
      </c>
      <c r="F8" s="5" t="s">
        <v>85</v>
      </c>
      <c r="G8" s="6" t="s">
        <v>84</v>
      </c>
      <c r="H8" s="5" t="str">
        <f>"000402"</f>
        <v>000402</v>
      </c>
      <c r="I8" s="4">
        <v>43187</v>
      </c>
      <c r="J8" s="5" t="str">
        <f>"000216"</f>
        <v>000216</v>
      </c>
      <c r="K8" s="4">
        <v>43188</v>
      </c>
      <c r="L8" s="5" t="str">
        <f>"000283"</f>
        <v>000283</v>
      </c>
      <c r="M8" s="4">
        <v>43188</v>
      </c>
      <c r="N8" s="5">
        <v>17</v>
      </c>
      <c r="O8" s="5" t="str">
        <f>"001821"</f>
        <v>001821</v>
      </c>
      <c r="P8" s="4">
        <v>43243</v>
      </c>
      <c r="Q8" s="7">
        <v>0.37846000000000002</v>
      </c>
      <c r="R8" s="7">
        <v>1.52E-2</v>
      </c>
      <c r="S8" s="7">
        <v>0.36326000000000003</v>
      </c>
      <c r="T8" s="5">
        <v>70</v>
      </c>
      <c r="U8" s="4">
        <v>43257</v>
      </c>
      <c r="V8" s="5">
        <v>9964339888</v>
      </c>
      <c r="W8" s="6" t="s">
        <v>70</v>
      </c>
      <c r="X8" s="5" t="s">
        <v>28</v>
      </c>
      <c r="Y8" s="6" t="s">
        <v>29</v>
      </c>
      <c r="Z8" s="5" t="s">
        <v>65</v>
      </c>
      <c r="AA8" s="6" t="s">
        <v>64</v>
      </c>
      <c r="AB8" s="7">
        <v>3.7846000000000004E-3</v>
      </c>
      <c r="AD8" s="8"/>
      <c r="AF8" s="8"/>
      <c r="AG8" s="8"/>
    </row>
    <row r="9" spans="1:33" x14ac:dyDescent="0.2">
      <c r="A9" s="12">
        <v>1846</v>
      </c>
      <c r="B9" s="13" t="s">
        <v>49</v>
      </c>
      <c r="C9" s="13">
        <v>43257</v>
      </c>
      <c r="D9" s="5">
        <v>104</v>
      </c>
      <c r="E9" s="6" t="s">
        <v>75</v>
      </c>
      <c r="F9" s="5" t="s">
        <v>140</v>
      </c>
      <c r="G9" s="6" t="s">
        <v>139</v>
      </c>
      <c r="H9" s="5" t="str">
        <f>"000281"</f>
        <v>000281</v>
      </c>
      <c r="I9" s="4">
        <v>43171</v>
      </c>
      <c r="J9" s="5" t="str">
        <f>"000018"</f>
        <v>000018</v>
      </c>
      <c r="K9" s="4">
        <v>43226</v>
      </c>
      <c r="L9" s="5" t="str">
        <f>"000034"</f>
        <v>000034</v>
      </c>
      <c r="M9" s="4">
        <v>43228</v>
      </c>
      <c r="N9" s="5">
        <v>17</v>
      </c>
      <c r="O9" s="5" t="str">
        <f>"001905"</f>
        <v>001905</v>
      </c>
      <c r="P9" s="4">
        <v>43245</v>
      </c>
      <c r="Q9" s="7">
        <v>0.50461999999999996</v>
      </c>
      <c r="R9" s="7">
        <v>2.0299999999999999E-2</v>
      </c>
      <c r="S9" s="7">
        <v>0.48431999999999997</v>
      </c>
      <c r="T9" s="5">
        <v>70</v>
      </c>
      <c r="U9" s="4">
        <v>43257</v>
      </c>
      <c r="V9" s="5">
        <v>9964339888</v>
      </c>
      <c r="W9" s="6" t="s">
        <v>70</v>
      </c>
      <c r="X9" s="5" t="s">
        <v>28</v>
      </c>
      <c r="Y9" s="6" t="s">
        <v>29</v>
      </c>
      <c r="Z9" s="5" t="s">
        <v>65</v>
      </c>
      <c r="AA9" s="6" t="s">
        <v>64</v>
      </c>
      <c r="AB9" s="7">
        <v>5.0461999999999998E-3</v>
      </c>
      <c r="AD9" s="8"/>
      <c r="AF9" s="8"/>
      <c r="AG9" s="8"/>
    </row>
    <row r="10" spans="1:33" x14ac:dyDescent="0.2">
      <c r="A10" s="12">
        <v>1847</v>
      </c>
      <c r="B10" s="13" t="s">
        <v>49</v>
      </c>
      <c r="C10" s="13">
        <v>43257</v>
      </c>
      <c r="D10" s="5">
        <v>104</v>
      </c>
      <c r="E10" s="6" t="s">
        <v>75</v>
      </c>
      <c r="F10" s="5" t="s">
        <v>95</v>
      </c>
      <c r="G10" s="6" t="s">
        <v>94</v>
      </c>
      <c r="H10" s="5" t="str">
        <f>"000283"</f>
        <v>000283</v>
      </c>
      <c r="I10" s="4">
        <v>43171</v>
      </c>
      <c r="J10" s="5" t="str">
        <f>"000060"</f>
        <v>000060</v>
      </c>
      <c r="K10" s="4">
        <v>43268</v>
      </c>
      <c r="L10" s="5" t="str">
        <f>"000088"</f>
        <v>000088</v>
      </c>
      <c r="M10" s="4">
        <v>43268</v>
      </c>
      <c r="N10" s="5">
        <v>17</v>
      </c>
      <c r="O10" s="5" t="str">
        <f>""</f>
        <v/>
      </c>
      <c r="P10" s="4"/>
      <c r="Q10" s="7">
        <v>0.63077000000000005</v>
      </c>
      <c r="R10" s="7">
        <v>2.5399999999999999E-2</v>
      </c>
      <c r="S10" s="7">
        <v>0.60536999999999996</v>
      </c>
      <c r="T10" s="5">
        <v>70</v>
      </c>
      <c r="U10" s="4">
        <v>43257</v>
      </c>
      <c r="V10" s="5">
        <v>9964339888</v>
      </c>
      <c r="W10" s="6" t="s">
        <v>70</v>
      </c>
      <c r="X10" s="5" t="s">
        <v>28</v>
      </c>
      <c r="Y10" s="6" t="s">
        <v>29</v>
      </c>
      <c r="Z10" s="5" t="s">
        <v>65</v>
      </c>
      <c r="AA10" s="6" t="s">
        <v>64</v>
      </c>
      <c r="AB10" s="7">
        <v>6.3077000000000003E-3</v>
      </c>
      <c r="AD10" s="8"/>
      <c r="AF10" s="8"/>
      <c r="AG10" s="8"/>
    </row>
    <row r="11" spans="1:33" x14ac:dyDescent="0.2">
      <c r="A11" s="12">
        <v>1848</v>
      </c>
      <c r="B11" s="13" t="s">
        <v>49</v>
      </c>
      <c r="C11" s="13">
        <v>43257</v>
      </c>
      <c r="D11" s="5">
        <v>104</v>
      </c>
      <c r="E11" s="6" t="s">
        <v>75</v>
      </c>
      <c r="F11" s="5" t="s">
        <v>140</v>
      </c>
      <c r="G11" s="6" t="s">
        <v>139</v>
      </c>
      <c r="H11" s="5" t="str">
        <f>"000281"</f>
        <v>000281</v>
      </c>
      <c r="I11" s="4">
        <v>43171</v>
      </c>
      <c r="J11" s="5" t="str">
        <f>"000018"</f>
        <v>000018</v>
      </c>
      <c r="K11" s="4">
        <v>43226</v>
      </c>
      <c r="L11" s="5" t="str">
        <f>"000034"</f>
        <v>000034</v>
      </c>
      <c r="M11" s="4">
        <v>43228</v>
      </c>
      <c r="N11" s="5">
        <v>17</v>
      </c>
      <c r="O11" s="5" t="str">
        <f>"001905"</f>
        <v>001905</v>
      </c>
      <c r="P11" s="4">
        <v>43245</v>
      </c>
      <c r="Q11" s="7">
        <v>116.24975000000001</v>
      </c>
      <c r="R11" s="7">
        <v>4.0781999999999998</v>
      </c>
      <c r="S11" s="7">
        <v>112.17155</v>
      </c>
      <c r="T11" s="5">
        <v>70</v>
      </c>
      <c r="U11" s="4">
        <v>43257</v>
      </c>
      <c r="V11" s="5">
        <v>9845222227</v>
      </c>
      <c r="W11" s="6" t="s">
        <v>71</v>
      </c>
      <c r="X11" s="5" t="s">
        <v>28</v>
      </c>
      <c r="Y11" s="6" t="s">
        <v>29</v>
      </c>
      <c r="Z11" s="5" t="s">
        <v>65</v>
      </c>
      <c r="AA11" s="6" t="s">
        <v>64</v>
      </c>
      <c r="AB11" s="7">
        <v>1.1624975</v>
      </c>
      <c r="AD11" s="8"/>
      <c r="AF11" s="8"/>
      <c r="AG11" s="8"/>
    </row>
    <row r="12" spans="1:33" x14ac:dyDescent="0.2">
      <c r="A12" s="12">
        <v>2337</v>
      </c>
      <c r="B12" s="13" t="s">
        <v>49</v>
      </c>
      <c r="C12" s="13">
        <v>43269</v>
      </c>
      <c r="D12" s="5">
        <v>104</v>
      </c>
      <c r="E12" s="6" t="s">
        <v>75</v>
      </c>
      <c r="F12" s="5" t="s">
        <v>138</v>
      </c>
      <c r="G12" s="6" t="s">
        <v>137</v>
      </c>
      <c r="H12" s="5" t="str">
        <f>"000016"</f>
        <v>000016</v>
      </c>
      <c r="I12" s="4">
        <v>42863</v>
      </c>
      <c r="J12" s="5" t="str">
        <f>"000089"</f>
        <v>000089</v>
      </c>
      <c r="K12" s="4">
        <v>42863</v>
      </c>
      <c r="L12" s="5" t="str">
        <f>"000194"</f>
        <v>000194</v>
      </c>
      <c r="M12" s="4">
        <v>42726</v>
      </c>
      <c r="N12" s="5">
        <v>16</v>
      </c>
      <c r="O12" s="5" t="str">
        <f>"002523"</f>
        <v>002523</v>
      </c>
      <c r="P12" s="4">
        <v>43264</v>
      </c>
      <c r="Q12" s="7">
        <v>19.580950000000001</v>
      </c>
      <c r="R12" s="7">
        <v>2.9713699999999998</v>
      </c>
      <c r="S12" s="7">
        <v>16.609580000000001</v>
      </c>
      <c r="T12" s="5">
        <v>91</v>
      </c>
      <c r="U12" s="4">
        <v>43269</v>
      </c>
      <c r="V12" s="5">
        <v>9964333666</v>
      </c>
      <c r="W12" s="6" t="s">
        <v>136</v>
      </c>
      <c r="X12" s="5" t="s">
        <v>135</v>
      </c>
      <c r="Y12" s="6" t="s">
        <v>134</v>
      </c>
      <c r="Z12" s="5" t="s">
        <v>41</v>
      </c>
      <c r="AA12" s="6" t="s">
        <v>40</v>
      </c>
      <c r="AB12" s="7">
        <v>0.19580950000000003</v>
      </c>
      <c r="AD12" s="8"/>
      <c r="AF12" s="8"/>
      <c r="AG12" s="8"/>
    </row>
    <row r="13" spans="1:33" x14ac:dyDescent="0.2">
      <c r="A13" s="12">
        <v>2874</v>
      </c>
      <c r="B13" s="13" t="s">
        <v>33</v>
      </c>
      <c r="C13" s="13">
        <v>43283</v>
      </c>
      <c r="D13" s="5">
        <v>104</v>
      </c>
      <c r="E13" s="6" t="s">
        <v>75</v>
      </c>
      <c r="F13" s="5" t="s">
        <v>133</v>
      </c>
      <c r="G13" s="6" t="s">
        <v>132</v>
      </c>
      <c r="H13" s="5" t="str">
        <f>"000054"</f>
        <v>000054</v>
      </c>
      <c r="I13" s="4">
        <v>42635</v>
      </c>
      <c r="J13" s="5" t="str">
        <f>"000065"</f>
        <v>000065</v>
      </c>
      <c r="K13" s="4">
        <v>42916</v>
      </c>
      <c r="L13" s="5" t="str">
        <f>"000184"</f>
        <v>000184</v>
      </c>
      <c r="M13" s="4">
        <v>42916</v>
      </c>
      <c r="N13" s="5">
        <v>17</v>
      </c>
      <c r="O13" s="5" t="str">
        <f>"003088"</f>
        <v>003088</v>
      </c>
      <c r="P13" s="4">
        <v>43280</v>
      </c>
      <c r="Q13" s="7">
        <v>8.8629800000000003</v>
      </c>
      <c r="R13" s="7">
        <v>1.15683</v>
      </c>
      <c r="S13" s="7">
        <v>7.7061500000000001</v>
      </c>
      <c r="T13" s="5">
        <v>107</v>
      </c>
      <c r="U13" s="4">
        <v>43283</v>
      </c>
      <c r="V13" s="5">
        <v>9900000000</v>
      </c>
      <c r="W13" s="6" t="s">
        <v>66</v>
      </c>
      <c r="X13" s="5" t="s">
        <v>60</v>
      </c>
      <c r="Y13" s="6" t="s">
        <v>59</v>
      </c>
      <c r="Z13" s="5" t="s">
        <v>65</v>
      </c>
      <c r="AA13" s="6" t="s">
        <v>64</v>
      </c>
      <c r="AB13" s="7">
        <v>8.8629800000000009E-2</v>
      </c>
      <c r="AD13" s="8"/>
      <c r="AF13" s="8"/>
      <c r="AG13" s="8"/>
    </row>
    <row r="14" spans="1:33" x14ac:dyDescent="0.2">
      <c r="A14" s="12">
        <v>2875</v>
      </c>
      <c r="B14" s="13" t="s">
        <v>33</v>
      </c>
      <c r="C14" s="13">
        <v>43283</v>
      </c>
      <c r="D14" s="5">
        <v>104</v>
      </c>
      <c r="E14" s="6" t="s">
        <v>75</v>
      </c>
      <c r="F14" s="5" t="s">
        <v>131</v>
      </c>
      <c r="G14" s="6" t="s">
        <v>130</v>
      </c>
      <c r="H14" s="5" t="str">
        <f>"000121"</f>
        <v>000121</v>
      </c>
      <c r="I14" s="4">
        <v>42800</v>
      </c>
      <c r="J14" s="5" t="str">
        <f>"000066"</f>
        <v>000066</v>
      </c>
      <c r="K14" s="4">
        <v>42916</v>
      </c>
      <c r="L14" s="5" t="str">
        <f>"000186"</f>
        <v>000186</v>
      </c>
      <c r="M14" s="4">
        <v>42916</v>
      </c>
      <c r="N14" s="5">
        <v>17</v>
      </c>
      <c r="O14" s="5" t="str">
        <f>"003173"</f>
        <v>003173</v>
      </c>
      <c r="P14" s="4">
        <v>43280</v>
      </c>
      <c r="Q14" s="7">
        <v>19.90147</v>
      </c>
      <c r="R14" s="7">
        <v>2.62798</v>
      </c>
      <c r="S14" s="7">
        <v>17.273489999999999</v>
      </c>
      <c r="T14" s="5">
        <v>107</v>
      </c>
      <c r="U14" s="4">
        <v>43283</v>
      </c>
      <c r="V14" s="5">
        <v>9900000000</v>
      </c>
      <c r="W14" s="6" t="s">
        <v>66</v>
      </c>
      <c r="X14" s="5" t="s">
        <v>31</v>
      </c>
      <c r="Y14" s="6" t="s">
        <v>32</v>
      </c>
      <c r="Z14" s="5" t="s">
        <v>65</v>
      </c>
      <c r="AA14" s="6" t="s">
        <v>64</v>
      </c>
      <c r="AB14" s="7">
        <v>0.19901469999999999</v>
      </c>
      <c r="AD14" s="8"/>
      <c r="AF14" s="8"/>
      <c r="AG14" s="8"/>
    </row>
    <row r="15" spans="1:33" x14ac:dyDescent="0.2">
      <c r="A15" s="12">
        <v>2876</v>
      </c>
      <c r="B15" s="13" t="s">
        <v>33</v>
      </c>
      <c r="C15" s="13">
        <v>43283</v>
      </c>
      <c r="D15" s="5">
        <v>104</v>
      </c>
      <c r="E15" s="6" t="s">
        <v>75</v>
      </c>
      <c r="F15" s="5" t="s">
        <v>129</v>
      </c>
      <c r="G15" s="6" t="s">
        <v>128</v>
      </c>
      <c r="H15" s="5" t="str">
        <f>"000*18"</f>
        <v>000*18</v>
      </c>
      <c r="I15" s="4">
        <v>42627</v>
      </c>
      <c r="J15" s="5" t="str">
        <f>"000161"</f>
        <v>000161</v>
      </c>
      <c r="K15" s="4">
        <v>42814</v>
      </c>
      <c r="L15" s="5" t="str">
        <f>"000009"</f>
        <v>000009</v>
      </c>
      <c r="M15" s="4">
        <v>42832</v>
      </c>
      <c r="N15" s="5">
        <v>17</v>
      </c>
      <c r="O15" s="5" t="str">
        <f>"003060"</f>
        <v>003060</v>
      </c>
      <c r="P15" s="4">
        <v>43278</v>
      </c>
      <c r="Q15" s="7">
        <v>8.3889800000000001</v>
      </c>
      <c r="R15" s="7">
        <v>1.0285500000000001</v>
      </c>
      <c r="S15" s="7">
        <v>7.36043</v>
      </c>
      <c r="T15" s="5">
        <v>108</v>
      </c>
      <c r="U15" s="4">
        <v>43283</v>
      </c>
      <c r="V15" s="5">
        <v>9449863064</v>
      </c>
      <c r="W15" s="6" t="s">
        <v>68</v>
      </c>
      <c r="X15" s="5" t="s">
        <v>89</v>
      </c>
      <c r="Y15" s="6" t="s">
        <v>88</v>
      </c>
      <c r="Z15" s="5" t="s">
        <v>62</v>
      </c>
      <c r="AA15" s="6" t="s">
        <v>61</v>
      </c>
      <c r="AB15" s="7">
        <v>8.38898E-2</v>
      </c>
      <c r="AD15" s="8"/>
      <c r="AF15" s="8"/>
      <c r="AG15" s="8"/>
    </row>
    <row r="16" spans="1:33" x14ac:dyDescent="0.2">
      <c r="A16" s="12">
        <v>2877</v>
      </c>
      <c r="B16" s="13" t="s">
        <v>33</v>
      </c>
      <c r="C16" s="13">
        <v>43283</v>
      </c>
      <c r="D16" s="5">
        <v>104</v>
      </c>
      <c r="E16" s="6" t="s">
        <v>75</v>
      </c>
      <c r="F16" s="5" t="s">
        <v>127</v>
      </c>
      <c r="G16" s="6" t="s">
        <v>126</v>
      </c>
      <c r="H16" s="5" t="str">
        <f>"000019"</f>
        <v>000019</v>
      </c>
      <c r="I16" s="4">
        <v>42627</v>
      </c>
      <c r="J16" s="5" t="str">
        <f>"000155"</f>
        <v>000155</v>
      </c>
      <c r="K16" s="4">
        <v>42765</v>
      </c>
      <c r="L16" s="5" t="str">
        <f>"000010"</f>
        <v>000010</v>
      </c>
      <c r="M16" s="4">
        <v>42832</v>
      </c>
      <c r="N16" s="5">
        <v>17</v>
      </c>
      <c r="O16" s="5" t="str">
        <f>"003061"</f>
        <v>003061</v>
      </c>
      <c r="P16" s="4">
        <v>43278</v>
      </c>
      <c r="Q16" s="7">
        <v>6.6792999999999996</v>
      </c>
      <c r="R16" s="7">
        <v>0.73470999999999997</v>
      </c>
      <c r="S16" s="7">
        <v>5.9445899999999998</v>
      </c>
      <c r="T16" s="5">
        <v>108</v>
      </c>
      <c r="U16" s="4">
        <v>43283</v>
      </c>
      <c r="V16" s="5">
        <v>8496023544</v>
      </c>
      <c r="W16" s="6" t="s">
        <v>123</v>
      </c>
      <c r="X16" s="5" t="s">
        <v>89</v>
      </c>
      <c r="Y16" s="6" t="s">
        <v>88</v>
      </c>
      <c r="Z16" s="5" t="s">
        <v>62</v>
      </c>
      <c r="AA16" s="6" t="s">
        <v>61</v>
      </c>
      <c r="AB16" s="7">
        <v>6.6792999999999991E-2</v>
      </c>
      <c r="AD16" s="8"/>
      <c r="AF16" s="8"/>
      <c r="AG16" s="8"/>
    </row>
    <row r="17" spans="1:33" x14ac:dyDescent="0.2">
      <c r="A17" s="12">
        <v>2878</v>
      </c>
      <c r="B17" s="13" t="s">
        <v>33</v>
      </c>
      <c r="C17" s="13">
        <v>43283</v>
      </c>
      <c r="D17" s="5">
        <v>104</v>
      </c>
      <c r="E17" s="6" t="s">
        <v>75</v>
      </c>
      <c r="F17" s="5" t="s">
        <v>125</v>
      </c>
      <c r="G17" s="6" t="s">
        <v>124</v>
      </c>
      <c r="H17" s="5" t="str">
        <f>"000017"</f>
        <v>000017</v>
      </c>
      <c r="I17" s="4">
        <v>42627</v>
      </c>
      <c r="J17" s="5" t="str">
        <f>"000156"</f>
        <v>000156</v>
      </c>
      <c r="K17" s="4">
        <v>42765</v>
      </c>
      <c r="L17" s="5" t="str">
        <f>"000011"</f>
        <v>000011</v>
      </c>
      <c r="M17" s="4">
        <v>42832</v>
      </c>
      <c r="N17" s="5">
        <v>17</v>
      </c>
      <c r="O17" s="5" t="str">
        <f>"003062"</f>
        <v>003062</v>
      </c>
      <c r="P17" s="4">
        <v>43278</v>
      </c>
      <c r="Q17" s="7">
        <v>11.085150000000001</v>
      </c>
      <c r="R17" s="7">
        <v>1.3831500000000001</v>
      </c>
      <c r="S17" s="7">
        <v>9.702</v>
      </c>
      <c r="T17" s="5">
        <v>108</v>
      </c>
      <c r="U17" s="4">
        <v>43283</v>
      </c>
      <c r="V17" s="5">
        <v>8496023544</v>
      </c>
      <c r="W17" s="6" t="s">
        <v>123</v>
      </c>
      <c r="X17" s="5" t="s">
        <v>89</v>
      </c>
      <c r="Y17" s="6" t="s">
        <v>88</v>
      </c>
      <c r="Z17" s="5" t="s">
        <v>62</v>
      </c>
      <c r="AA17" s="6" t="s">
        <v>61</v>
      </c>
      <c r="AB17" s="7">
        <v>0.11085150000000001</v>
      </c>
      <c r="AD17" s="8"/>
      <c r="AF17" s="8"/>
      <c r="AG17" s="8"/>
    </row>
    <row r="18" spans="1:33" x14ac:dyDescent="0.2">
      <c r="A18" s="12">
        <v>3536</v>
      </c>
      <c r="B18" s="13" t="s">
        <v>33</v>
      </c>
      <c r="C18" s="13">
        <v>43299</v>
      </c>
      <c r="D18" s="5">
        <v>104</v>
      </c>
      <c r="E18" s="6" t="s">
        <v>75</v>
      </c>
      <c r="F18" s="5" t="s">
        <v>122</v>
      </c>
      <c r="G18" s="6" t="s">
        <v>121</v>
      </c>
      <c r="H18" s="5" t="str">
        <f>"000009"</f>
        <v>000009</v>
      </c>
      <c r="I18" s="4">
        <v>42931</v>
      </c>
      <c r="J18" s="5" t="str">
        <f>"000010"</f>
        <v>000010</v>
      </c>
      <c r="K18" s="4">
        <v>42934</v>
      </c>
      <c r="L18" s="5" t="str">
        <f>"000878"</f>
        <v>000878</v>
      </c>
      <c r="M18" s="4">
        <v>42825</v>
      </c>
      <c r="N18" s="5">
        <v>15</v>
      </c>
      <c r="O18" s="5" t="str">
        <f>"003772"</f>
        <v>003772</v>
      </c>
      <c r="P18" s="4">
        <v>43294</v>
      </c>
      <c r="Q18" s="7">
        <v>5.1826600000000003</v>
      </c>
      <c r="R18" s="7">
        <v>0.60941999999999996</v>
      </c>
      <c r="S18" s="7">
        <v>4.5732400000000002</v>
      </c>
      <c r="T18" s="5">
        <v>129</v>
      </c>
      <c r="U18" s="4">
        <v>43299</v>
      </c>
      <c r="V18" s="5">
        <v>9961998959</v>
      </c>
      <c r="W18" s="6" t="s">
        <v>110</v>
      </c>
      <c r="X18" s="5" t="s">
        <v>48</v>
      </c>
      <c r="Y18" s="6" t="s">
        <v>47</v>
      </c>
      <c r="Z18" s="5" t="s">
        <v>65</v>
      </c>
      <c r="AA18" s="6" t="s">
        <v>64</v>
      </c>
      <c r="AB18" s="7">
        <v>5.18266E-2</v>
      </c>
      <c r="AD18" s="8"/>
      <c r="AF18" s="8"/>
      <c r="AG18" s="8"/>
    </row>
    <row r="19" spans="1:33" x14ac:dyDescent="0.2">
      <c r="A19" s="12">
        <v>3537</v>
      </c>
      <c r="B19" s="13" t="s">
        <v>33</v>
      </c>
      <c r="C19" s="13">
        <v>43299</v>
      </c>
      <c r="D19" s="5">
        <v>104</v>
      </c>
      <c r="E19" s="6" t="s">
        <v>75</v>
      </c>
      <c r="F19" s="5" t="s">
        <v>120</v>
      </c>
      <c r="G19" s="6" t="s">
        <v>119</v>
      </c>
      <c r="H19" s="5" t="str">
        <f>"000008"</f>
        <v>000008</v>
      </c>
      <c r="I19" s="4">
        <v>42931</v>
      </c>
      <c r="J19" s="5" t="str">
        <f>"000007"</f>
        <v>000007</v>
      </c>
      <c r="K19" s="4">
        <v>42934</v>
      </c>
      <c r="L19" s="5" t="str">
        <f>"000880"</f>
        <v>000880</v>
      </c>
      <c r="M19" s="4">
        <v>42825</v>
      </c>
      <c r="N19" s="5">
        <v>15</v>
      </c>
      <c r="O19" s="5" t="str">
        <f>"003773"</f>
        <v>003773</v>
      </c>
      <c r="P19" s="4">
        <v>43294</v>
      </c>
      <c r="Q19" s="7">
        <v>5.2304300000000001</v>
      </c>
      <c r="R19" s="7">
        <v>0.60941999999999996</v>
      </c>
      <c r="S19" s="7">
        <v>4.6210100000000001</v>
      </c>
      <c r="T19" s="5">
        <v>129</v>
      </c>
      <c r="U19" s="4">
        <v>43299</v>
      </c>
      <c r="V19" s="5">
        <v>9961998959</v>
      </c>
      <c r="W19" s="6" t="s">
        <v>110</v>
      </c>
      <c r="X19" s="5" t="s">
        <v>48</v>
      </c>
      <c r="Y19" s="6" t="s">
        <v>47</v>
      </c>
      <c r="Z19" s="5" t="s">
        <v>65</v>
      </c>
      <c r="AA19" s="6" t="s">
        <v>64</v>
      </c>
      <c r="AB19" s="7">
        <v>5.2304299999999998E-2</v>
      </c>
      <c r="AD19" s="8"/>
      <c r="AF19" s="8"/>
      <c r="AG19" s="8"/>
    </row>
    <row r="20" spans="1:33" x14ac:dyDescent="0.2">
      <c r="A20" s="12">
        <v>3538</v>
      </c>
      <c r="B20" s="13" t="s">
        <v>33</v>
      </c>
      <c r="C20" s="13">
        <v>43299</v>
      </c>
      <c r="D20" s="5">
        <v>104</v>
      </c>
      <c r="E20" s="6" t="s">
        <v>75</v>
      </c>
      <c r="F20" s="5" t="s">
        <v>118</v>
      </c>
      <c r="G20" s="6" t="s">
        <v>117</v>
      </c>
      <c r="H20" s="5" t="str">
        <f>"000012"</f>
        <v>000012</v>
      </c>
      <c r="I20" s="4">
        <v>42931</v>
      </c>
      <c r="J20" s="5" t="str">
        <f>"000011"</f>
        <v>000011</v>
      </c>
      <c r="K20" s="4">
        <v>42934</v>
      </c>
      <c r="L20" s="5" t="str">
        <f>"000881"</f>
        <v>000881</v>
      </c>
      <c r="M20" s="4">
        <v>42825</v>
      </c>
      <c r="N20" s="5">
        <v>15</v>
      </c>
      <c r="O20" s="5" t="str">
        <f>"003775"</f>
        <v>003775</v>
      </c>
      <c r="P20" s="4">
        <v>43294</v>
      </c>
      <c r="Q20" s="7">
        <v>5.1803400000000002</v>
      </c>
      <c r="R20" s="7">
        <v>0.60343999999999998</v>
      </c>
      <c r="S20" s="7">
        <v>4.5769000000000002</v>
      </c>
      <c r="T20" s="5">
        <v>129</v>
      </c>
      <c r="U20" s="4">
        <v>43299</v>
      </c>
      <c r="V20" s="5">
        <v>9961998959</v>
      </c>
      <c r="W20" s="6" t="s">
        <v>110</v>
      </c>
      <c r="X20" s="5" t="s">
        <v>48</v>
      </c>
      <c r="Y20" s="6" t="s">
        <v>47</v>
      </c>
      <c r="Z20" s="5" t="s">
        <v>65</v>
      </c>
      <c r="AA20" s="6" t="s">
        <v>64</v>
      </c>
      <c r="AB20" s="7">
        <v>5.1803399999999999E-2</v>
      </c>
      <c r="AD20" s="8"/>
      <c r="AF20" s="8"/>
      <c r="AG20" s="8"/>
    </row>
    <row r="21" spans="1:33" x14ac:dyDescent="0.2">
      <c r="A21" s="12">
        <v>3539</v>
      </c>
      <c r="B21" s="13" t="s">
        <v>33</v>
      </c>
      <c r="C21" s="13">
        <v>43299</v>
      </c>
      <c r="D21" s="5">
        <v>104</v>
      </c>
      <c r="E21" s="6" t="s">
        <v>75</v>
      </c>
      <c r="F21" s="5" t="s">
        <v>116</v>
      </c>
      <c r="G21" s="6" t="s">
        <v>115</v>
      </c>
      <c r="H21" s="5" t="str">
        <f>"000010"</f>
        <v>000010</v>
      </c>
      <c r="I21" s="4">
        <v>42931</v>
      </c>
      <c r="J21" s="5" t="str">
        <f>"000009"</f>
        <v>000009</v>
      </c>
      <c r="K21" s="4">
        <v>42934</v>
      </c>
      <c r="L21" s="5" t="str">
        <f>"000882"</f>
        <v>000882</v>
      </c>
      <c r="M21" s="4">
        <v>42825</v>
      </c>
      <c r="N21" s="5">
        <v>15</v>
      </c>
      <c r="O21" s="5" t="str">
        <f>"003777"</f>
        <v>003777</v>
      </c>
      <c r="P21" s="4">
        <v>43294</v>
      </c>
      <c r="Q21" s="7">
        <v>5.1796699999999998</v>
      </c>
      <c r="R21" s="7">
        <v>0.60326000000000002</v>
      </c>
      <c r="S21" s="7">
        <v>4.5764100000000001</v>
      </c>
      <c r="T21" s="5">
        <v>129</v>
      </c>
      <c r="U21" s="4">
        <v>43299</v>
      </c>
      <c r="V21" s="5">
        <v>9961998959</v>
      </c>
      <c r="W21" s="6" t="s">
        <v>110</v>
      </c>
      <c r="X21" s="5" t="s">
        <v>48</v>
      </c>
      <c r="Y21" s="6" t="s">
        <v>47</v>
      </c>
      <c r="Z21" s="5" t="s">
        <v>65</v>
      </c>
      <c r="AA21" s="6" t="s">
        <v>64</v>
      </c>
      <c r="AB21" s="7">
        <v>5.1796700000000001E-2</v>
      </c>
      <c r="AD21" s="8"/>
      <c r="AF21" s="8"/>
      <c r="AG21" s="8"/>
    </row>
    <row r="22" spans="1:33" x14ac:dyDescent="0.2">
      <c r="A22" s="12">
        <v>3540</v>
      </c>
      <c r="B22" s="13" t="s">
        <v>33</v>
      </c>
      <c r="C22" s="13">
        <v>43299</v>
      </c>
      <c r="D22" s="5">
        <v>104</v>
      </c>
      <c r="E22" s="6" t="s">
        <v>75</v>
      </c>
      <c r="F22" s="5" t="s">
        <v>114</v>
      </c>
      <c r="G22" s="6" t="s">
        <v>113</v>
      </c>
      <c r="H22" s="5" t="str">
        <f>"000011"</f>
        <v>000011</v>
      </c>
      <c r="I22" s="4">
        <v>42931</v>
      </c>
      <c r="J22" s="5" t="str">
        <f>"000006"</f>
        <v>000006</v>
      </c>
      <c r="K22" s="4">
        <v>42934</v>
      </c>
      <c r="L22" s="5" t="str">
        <f>"00879"</f>
        <v>00879</v>
      </c>
      <c r="M22" s="4">
        <v>42825</v>
      </c>
      <c r="N22" s="5">
        <v>15</v>
      </c>
      <c r="O22" s="5" t="str">
        <f>"003778"</f>
        <v>003778</v>
      </c>
      <c r="P22" s="4">
        <v>43294</v>
      </c>
      <c r="Q22" s="7">
        <v>5.2159199999999997</v>
      </c>
      <c r="R22" s="7">
        <v>0.60758999999999996</v>
      </c>
      <c r="S22" s="7">
        <v>4.6083299999999996</v>
      </c>
      <c r="T22" s="5">
        <v>129</v>
      </c>
      <c r="U22" s="4">
        <v>43299</v>
      </c>
      <c r="V22" s="5">
        <v>9961998959</v>
      </c>
      <c r="W22" s="6" t="s">
        <v>110</v>
      </c>
      <c r="X22" s="5" t="s">
        <v>31</v>
      </c>
      <c r="Y22" s="6" t="s">
        <v>32</v>
      </c>
      <c r="Z22" s="5" t="s">
        <v>65</v>
      </c>
      <c r="AA22" s="6" t="s">
        <v>64</v>
      </c>
      <c r="AB22" s="7">
        <v>5.2159199999999996E-2</v>
      </c>
      <c r="AD22" s="8"/>
      <c r="AF22" s="8"/>
      <c r="AG22" s="8"/>
    </row>
    <row r="23" spans="1:33" x14ac:dyDescent="0.2">
      <c r="A23" s="12">
        <v>3541</v>
      </c>
      <c r="B23" s="13" t="s">
        <v>33</v>
      </c>
      <c r="C23" s="13">
        <v>43299</v>
      </c>
      <c r="D23" s="5">
        <v>104</v>
      </c>
      <c r="E23" s="6" t="s">
        <v>75</v>
      </c>
      <c r="F23" s="5" t="s">
        <v>112</v>
      </c>
      <c r="G23" s="6" t="s">
        <v>111</v>
      </c>
      <c r="H23" s="5" t="str">
        <f>"000013"</f>
        <v>000013</v>
      </c>
      <c r="I23" s="4">
        <v>42931</v>
      </c>
      <c r="J23" s="5" t="str">
        <f>"000008"</f>
        <v>000008</v>
      </c>
      <c r="K23" s="4">
        <v>42934</v>
      </c>
      <c r="L23" s="5" t="str">
        <f>"000877"</f>
        <v>000877</v>
      </c>
      <c r="M23" s="4">
        <v>42825</v>
      </c>
      <c r="N23" s="5">
        <v>15</v>
      </c>
      <c r="O23" s="5" t="str">
        <f>"003780"</f>
        <v>003780</v>
      </c>
      <c r="P23" s="4">
        <v>43294</v>
      </c>
      <c r="Q23" s="7">
        <v>5.1787900000000002</v>
      </c>
      <c r="R23" s="7">
        <v>0.60238000000000003</v>
      </c>
      <c r="S23" s="7">
        <v>4.5764100000000001</v>
      </c>
      <c r="T23" s="5">
        <v>129</v>
      </c>
      <c r="U23" s="4">
        <v>43299</v>
      </c>
      <c r="V23" s="5">
        <v>9961998959</v>
      </c>
      <c r="W23" s="6" t="s">
        <v>110</v>
      </c>
      <c r="X23" s="5" t="s">
        <v>48</v>
      </c>
      <c r="Y23" s="6" t="s">
        <v>47</v>
      </c>
      <c r="Z23" s="5" t="s">
        <v>65</v>
      </c>
      <c r="AA23" s="6" t="s">
        <v>64</v>
      </c>
      <c r="AB23" s="7">
        <v>5.1787900000000005E-2</v>
      </c>
      <c r="AD23" s="8"/>
      <c r="AF23" s="8"/>
      <c r="AG23" s="8"/>
    </row>
    <row r="24" spans="1:33" x14ac:dyDescent="0.2">
      <c r="A24" s="12">
        <v>4120</v>
      </c>
      <c r="B24" s="13" t="s">
        <v>33</v>
      </c>
      <c r="C24" s="13">
        <v>43308</v>
      </c>
      <c r="D24" s="5">
        <v>104</v>
      </c>
      <c r="E24" s="6" t="s">
        <v>75</v>
      </c>
      <c r="F24" s="5" t="s">
        <v>109</v>
      </c>
      <c r="G24" s="6" t="s">
        <v>108</v>
      </c>
      <c r="H24" s="5" t="str">
        <f>"000029"</f>
        <v>000029</v>
      </c>
      <c r="I24" s="4">
        <v>42943</v>
      </c>
      <c r="J24" s="5" t="str">
        <f>"000135"</f>
        <v>000135</v>
      </c>
      <c r="K24" s="4">
        <v>43187</v>
      </c>
      <c r="L24" s="5" t="str">
        <f>"000163"</f>
        <v>000163</v>
      </c>
      <c r="M24" s="4">
        <v>43190</v>
      </c>
      <c r="N24" s="5">
        <v>16</v>
      </c>
      <c r="O24" s="5" t="str">
        <f>"004375"</f>
        <v>004375</v>
      </c>
      <c r="P24" s="4">
        <v>43306</v>
      </c>
      <c r="Q24" s="7">
        <v>8.4784199999999998</v>
      </c>
      <c r="R24" s="7">
        <v>0.43240000000000001</v>
      </c>
      <c r="S24" s="7">
        <v>8.0460200000000004</v>
      </c>
      <c r="T24" s="5">
        <v>146</v>
      </c>
      <c r="U24" s="4">
        <v>43308</v>
      </c>
      <c r="V24" s="5">
        <v>9845351993</v>
      </c>
      <c r="W24" s="6" t="s">
        <v>67</v>
      </c>
      <c r="X24" s="5" t="s">
        <v>34</v>
      </c>
      <c r="Y24" s="6" t="s">
        <v>35</v>
      </c>
      <c r="Z24" s="5" t="s">
        <v>41</v>
      </c>
      <c r="AA24" s="6" t="s">
        <v>40</v>
      </c>
      <c r="AB24" s="7">
        <v>8.4784200000000004E-2</v>
      </c>
      <c r="AD24" s="8"/>
      <c r="AF24" s="8"/>
      <c r="AG24" s="8"/>
    </row>
    <row r="25" spans="1:33" x14ac:dyDescent="0.2">
      <c r="A25" s="12">
        <v>4292</v>
      </c>
      <c r="B25" s="13" t="s">
        <v>30</v>
      </c>
      <c r="C25" s="13">
        <v>43315</v>
      </c>
      <c r="D25" s="5">
        <v>104</v>
      </c>
      <c r="E25" s="6" t="s">
        <v>75</v>
      </c>
      <c r="F25" s="5" t="s">
        <v>107</v>
      </c>
      <c r="G25" s="6" t="s">
        <v>106</v>
      </c>
      <c r="H25" s="5" t="str">
        <f>"000048"</f>
        <v>000048</v>
      </c>
      <c r="I25" s="4">
        <v>42635</v>
      </c>
      <c r="J25" s="5" t="str">
        <f>"000113"</f>
        <v>000113</v>
      </c>
      <c r="K25" s="4">
        <v>42766</v>
      </c>
      <c r="L25" s="5" t="str">
        <f>"000717"</f>
        <v>000717</v>
      </c>
      <c r="M25" s="4">
        <v>42766</v>
      </c>
      <c r="N25" s="5">
        <v>17</v>
      </c>
      <c r="O25" s="5" t="str">
        <f>"004529"</f>
        <v>004529</v>
      </c>
      <c r="P25" s="4">
        <v>43309</v>
      </c>
      <c r="Q25" s="7">
        <v>44.91939</v>
      </c>
      <c r="R25" s="7">
        <v>6.3516899999999996</v>
      </c>
      <c r="S25" s="7">
        <v>38.567700000000002</v>
      </c>
      <c r="T25" s="5">
        <v>152</v>
      </c>
      <c r="U25" s="4">
        <v>43315</v>
      </c>
      <c r="V25" s="5">
        <v>9900000000</v>
      </c>
      <c r="W25" s="6" t="s">
        <v>69</v>
      </c>
      <c r="X25" s="5" t="s">
        <v>60</v>
      </c>
      <c r="Y25" s="6" t="s">
        <v>59</v>
      </c>
      <c r="Z25" s="5" t="s">
        <v>65</v>
      </c>
      <c r="AA25" s="6" t="s">
        <v>64</v>
      </c>
      <c r="AB25" s="7">
        <v>0.44919389999999998</v>
      </c>
      <c r="AD25" s="8"/>
      <c r="AF25" s="8"/>
      <c r="AG25" s="8"/>
    </row>
    <row r="26" spans="1:33" x14ac:dyDescent="0.2">
      <c r="A26" s="12">
        <v>4293</v>
      </c>
      <c r="B26" s="13" t="s">
        <v>30</v>
      </c>
      <c r="C26" s="13">
        <v>43315</v>
      </c>
      <c r="D26" s="5">
        <v>104</v>
      </c>
      <c r="E26" s="6" t="s">
        <v>75</v>
      </c>
      <c r="F26" s="5" t="s">
        <v>105</v>
      </c>
      <c r="G26" s="6" t="s">
        <v>104</v>
      </c>
      <c r="H26" s="5" t="str">
        <f>"000053"</f>
        <v>000053</v>
      </c>
      <c r="I26" s="4">
        <v>42635</v>
      </c>
      <c r="J26" s="5" t="str">
        <f>"000123"</f>
        <v>000123</v>
      </c>
      <c r="K26" s="4">
        <v>42766</v>
      </c>
      <c r="L26" s="5" t="str">
        <f>"000731"</f>
        <v>000731</v>
      </c>
      <c r="M26" s="4">
        <v>42766</v>
      </c>
      <c r="N26" s="5">
        <v>17</v>
      </c>
      <c r="O26" s="5" t="str">
        <f>"004547"</f>
        <v>004547</v>
      </c>
      <c r="P26" s="4">
        <v>43309</v>
      </c>
      <c r="Q26" s="7">
        <v>49.466200000000001</v>
      </c>
      <c r="R26" s="7">
        <v>6.8331499999999998</v>
      </c>
      <c r="S26" s="7">
        <v>42.633049999999997</v>
      </c>
      <c r="T26" s="5">
        <v>152</v>
      </c>
      <c r="U26" s="4">
        <v>43315</v>
      </c>
      <c r="V26" s="5">
        <v>9900000000</v>
      </c>
      <c r="W26" s="6" t="s">
        <v>66</v>
      </c>
      <c r="X26" s="5" t="s">
        <v>60</v>
      </c>
      <c r="Y26" s="6" t="s">
        <v>59</v>
      </c>
      <c r="Z26" s="5" t="s">
        <v>65</v>
      </c>
      <c r="AA26" s="6" t="s">
        <v>64</v>
      </c>
      <c r="AB26" s="7">
        <v>0.49466199999999999</v>
      </c>
      <c r="AD26" s="8"/>
      <c r="AF26" s="8"/>
      <c r="AG26" s="8"/>
    </row>
    <row r="27" spans="1:33" x14ac:dyDescent="0.2">
      <c r="A27" s="12">
        <v>5274</v>
      </c>
      <c r="B27" s="13" t="s">
        <v>37</v>
      </c>
      <c r="C27" s="13">
        <v>43346</v>
      </c>
      <c r="D27" s="5">
        <v>104</v>
      </c>
      <c r="E27" s="6" t="s">
        <v>75</v>
      </c>
      <c r="F27" s="5" t="s">
        <v>103</v>
      </c>
      <c r="G27" s="6" t="s">
        <v>102</v>
      </c>
      <c r="H27" s="5" t="str">
        <f>"000099"</f>
        <v>000099</v>
      </c>
      <c r="I27" s="4">
        <v>42747</v>
      </c>
      <c r="J27" s="5" t="str">
        <f>"000162"</f>
        <v>000162</v>
      </c>
      <c r="K27" s="4">
        <v>42822</v>
      </c>
      <c r="L27" s="5" t="str">
        <f>"000874"</f>
        <v>000874</v>
      </c>
      <c r="M27" s="4">
        <v>42825</v>
      </c>
      <c r="N27" s="5">
        <v>16</v>
      </c>
      <c r="O27" s="5" t="str">
        <f>"005453"</f>
        <v>005453</v>
      </c>
      <c r="P27" s="4">
        <v>43340</v>
      </c>
      <c r="Q27" s="7">
        <v>26.966360000000002</v>
      </c>
      <c r="R27" s="7">
        <v>3.8205200000000001</v>
      </c>
      <c r="S27" s="7">
        <v>23.14584</v>
      </c>
      <c r="T27" s="5">
        <v>193</v>
      </c>
      <c r="U27" s="4">
        <v>43346</v>
      </c>
      <c r="V27" s="5">
        <v>9900000000</v>
      </c>
      <c r="W27" s="6" t="s">
        <v>66</v>
      </c>
      <c r="X27" s="5" t="s">
        <v>31</v>
      </c>
      <c r="Y27" s="6" t="s">
        <v>32</v>
      </c>
      <c r="Z27" s="5" t="s">
        <v>65</v>
      </c>
      <c r="AA27" s="6" t="s">
        <v>64</v>
      </c>
      <c r="AB27" s="7">
        <f>Q27/100</f>
        <v>0.2696636</v>
      </c>
      <c r="AD27" s="8"/>
      <c r="AF27" s="8"/>
      <c r="AG27" s="8"/>
    </row>
    <row r="28" spans="1:33" x14ac:dyDescent="0.2">
      <c r="A28" s="12">
        <v>5275</v>
      </c>
      <c r="B28" s="13" t="s">
        <v>37</v>
      </c>
      <c r="C28" s="13">
        <v>43346</v>
      </c>
      <c r="D28" s="5">
        <v>104</v>
      </c>
      <c r="E28" s="6" t="s">
        <v>75</v>
      </c>
      <c r="F28" s="5" t="s">
        <v>101</v>
      </c>
      <c r="G28" s="6" t="s">
        <v>100</v>
      </c>
      <c r="H28" s="5" t="str">
        <f>"000122"</f>
        <v>000122</v>
      </c>
      <c r="I28" s="4">
        <v>42800</v>
      </c>
      <c r="J28" s="5" t="str">
        <f>"000161"</f>
        <v>000161</v>
      </c>
      <c r="K28" s="4">
        <v>42822</v>
      </c>
      <c r="L28" s="5" t="str">
        <f>"000875"</f>
        <v>000875</v>
      </c>
      <c r="M28" s="4">
        <v>42825</v>
      </c>
      <c r="N28" s="5">
        <v>17</v>
      </c>
      <c r="O28" s="5" t="str">
        <f>"005454"</f>
        <v>005454</v>
      </c>
      <c r="P28" s="4">
        <v>43340</v>
      </c>
      <c r="Q28" s="7">
        <v>14.982150000000001</v>
      </c>
      <c r="R28" s="7">
        <v>2.04366</v>
      </c>
      <c r="S28" s="7">
        <v>12.93849</v>
      </c>
      <c r="T28" s="5">
        <v>193</v>
      </c>
      <c r="U28" s="4">
        <v>43346</v>
      </c>
      <c r="V28" s="5">
        <v>9900000000</v>
      </c>
      <c r="W28" s="6" t="s">
        <v>66</v>
      </c>
      <c r="X28" s="5" t="s">
        <v>31</v>
      </c>
      <c r="Y28" s="6" t="s">
        <v>32</v>
      </c>
      <c r="Z28" s="5" t="s">
        <v>65</v>
      </c>
      <c r="AA28" s="6" t="s">
        <v>64</v>
      </c>
      <c r="AB28" s="7">
        <f>Q28/100</f>
        <v>0.1498215</v>
      </c>
      <c r="AD28" s="8"/>
      <c r="AF28" s="8"/>
      <c r="AG28" s="8"/>
    </row>
    <row r="29" spans="1:33" x14ac:dyDescent="0.2">
      <c r="A29" s="12">
        <v>5276</v>
      </c>
      <c r="B29" s="13" t="s">
        <v>37</v>
      </c>
      <c r="C29" s="13">
        <v>43346</v>
      </c>
      <c r="D29" s="5">
        <v>104</v>
      </c>
      <c r="E29" s="6" t="s">
        <v>75</v>
      </c>
      <c r="F29" s="5" t="s">
        <v>99</v>
      </c>
      <c r="G29" s="6" t="s">
        <v>98</v>
      </c>
      <c r="H29" s="5" t="str">
        <f>"000052"</f>
        <v>000052</v>
      </c>
      <c r="I29" s="4">
        <v>42635</v>
      </c>
      <c r="J29" s="5" t="str">
        <f>"000160"</f>
        <v>000160</v>
      </c>
      <c r="K29" s="4">
        <v>42822</v>
      </c>
      <c r="L29" s="5" t="str">
        <f>"000876"</f>
        <v>000876</v>
      </c>
      <c r="M29" s="4">
        <v>42825</v>
      </c>
      <c r="N29" s="5">
        <v>17</v>
      </c>
      <c r="O29" s="5" t="str">
        <f>"005455"</f>
        <v>005455</v>
      </c>
      <c r="P29" s="4">
        <v>43340</v>
      </c>
      <c r="Q29" s="7">
        <v>36.87106</v>
      </c>
      <c r="R29" s="7">
        <v>5.24078</v>
      </c>
      <c r="S29" s="7">
        <v>31.630279999999999</v>
      </c>
      <c r="T29" s="5">
        <v>193</v>
      </c>
      <c r="U29" s="4">
        <v>43346</v>
      </c>
      <c r="V29" s="5">
        <v>9900000000</v>
      </c>
      <c r="W29" s="6" t="s">
        <v>66</v>
      </c>
      <c r="X29" s="5" t="s">
        <v>60</v>
      </c>
      <c r="Y29" s="6" t="s">
        <v>59</v>
      </c>
      <c r="Z29" s="5" t="s">
        <v>65</v>
      </c>
      <c r="AA29" s="6" t="s">
        <v>64</v>
      </c>
      <c r="AB29" s="7">
        <f>Q29/100</f>
        <v>0.3687106</v>
      </c>
      <c r="AD29" s="8"/>
      <c r="AF29" s="8"/>
      <c r="AG29" s="8"/>
    </row>
    <row r="30" spans="1:33" x14ac:dyDescent="0.2">
      <c r="A30" s="12">
        <v>5277</v>
      </c>
      <c r="B30" s="13" t="s">
        <v>37</v>
      </c>
      <c r="C30" s="13">
        <v>43346</v>
      </c>
      <c r="D30" s="5">
        <v>104</v>
      </c>
      <c r="E30" s="6" t="s">
        <v>75</v>
      </c>
      <c r="F30" s="5" t="s">
        <v>97</v>
      </c>
      <c r="G30" s="6" t="s">
        <v>96</v>
      </c>
      <c r="H30" s="5" t="str">
        <f>"000123"</f>
        <v>000123</v>
      </c>
      <c r="I30" s="4">
        <v>42800</v>
      </c>
      <c r="J30" s="5" t="str">
        <f>"000182"</f>
        <v>000182</v>
      </c>
      <c r="K30" s="4">
        <v>42822</v>
      </c>
      <c r="L30" s="5" t="str">
        <f>"000921"</f>
        <v>000921</v>
      </c>
      <c r="M30" s="4">
        <v>42825</v>
      </c>
      <c r="N30" s="5">
        <v>17</v>
      </c>
      <c r="O30" s="5" t="str">
        <f>"005459"</f>
        <v>005459</v>
      </c>
      <c r="P30" s="4">
        <v>43340</v>
      </c>
      <c r="Q30" s="7">
        <v>19.693380000000001</v>
      </c>
      <c r="R30" s="7">
        <v>2.6789000000000001</v>
      </c>
      <c r="S30" s="7">
        <v>17.014479999999999</v>
      </c>
      <c r="T30" s="5">
        <v>193</v>
      </c>
      <c r="U30" s="4">
        <v>43346</v>
      </c>
      <c r="V30" s="5">
        <v>9900000000</v>
      </c>
      <c r="W30" s="6" t="s">
        <v>69</v>
      </c>
      <c r="X30" s="5" t="s">
        <v>31</v>
      </c>
      <c r="Y30" s="6" t="s">
        <v>32</v>
      </c>
      <c r="Z30" s="5" t="s">
        <v>65</v>
      </c>
      <c r="AA30" s="6" t="s">
        <v>64</v>
      </c>
      <c r="AB30" s="7">
        <f>Q30/100</f>
        <v>0.19693380000000002</v>
      </c>
      <c r="AD30" s="8"/>
      <c r="AF30" s="8"/>
      <c r="AG30" s="8"/>
    </row>
    <row r="31" spans="1:33" x14ac:dyDescent="0.2">
      <c r="A31" s="12">
        <v>6139</v>
      </c>
      <c r="B31" s="13" t="s">
        <v>39</v>
      </c>
      <c r="C31" s="13">
        <v>43385</v>
      </c>
      <c r="D31" s="5">
        <v>104</v>
      </c>
      <c r="E31" s="6" t="s">
        <v>75</v>
      </c>
      <c r="F31" s="5" t="s">
        <v>95</v>
      </c>
      <c r="G31" s="6" t="s">
        <v>94</v>
      </c>
      <c r="H31" s="5" t="str">
        <f>"000283"</f>
        <v>000283</v>
      </c>
      <c r="I31" s="4">
        <v>43171</v>
      </c>
      <c r="J31" s="5" t="str">
        <f>"000116"</f>
        <v>000116</v>
      </c>
      <c r="K31" s="4">
        <v>43461</v>
      </c>
      <c r="L31" s="5" t="str">
        <f>"000175"</f>
        <v>000175</v>
      </c>
      <c r="M31" s="4">
        <v>43463</v>
      </c>
      <c r="N31" s="5">
        <v>17</v>
      </c>
      <c r="O31" s="5" t="str">
        <f>""</f>
        <v/>
      </c>
      <c r="P31" s="4"/>
      <c r="Q31" s="7">
        <v>115.44933</v>
      </c>
      <c r="R31" s="7">
        <v>4.2331000000000003</v>
      </c>
      <c r="S31" s="7">
        <v>111.21623</v>
      </c>
      <c r="T31" s="5">
        <v>228</v>
      </c>
      <c r="U31" s="4">
        <v>43385</v>
      </c>
      <c r="V31" s="5">
        <v>9845222227</v>
      </c>
      <c r="W31" s="6" t="s">
        <v>71</v>
      </c>
      <c r="X31" s="5" t="s">
        <v>28</v>
      </c>
      <c r="Y31" s="6" t="s">
        <v>29</v>
      </c>
      <c r="Z31" s="5" t="s">
        <v>65</v>
      </c>
      <c r="AA31" s="6" t="s">
        <v>64</v>
      </c>
      <c r="AB31" s="7">
        <f>Q31/100</f>
        <v>1.1544932999999999</v>
      </c>
      <c r="AD31" s="8"/>
      <c r="AF31" s="8"/>
      <c r="AG31" s="8"/>
    </row>
    <row r="32" spans="1:33" x14ac:dyDescent="0.2">
      <c r="A32" s="12">
        <v>6140</v>
      </c>
      <c r="B32" s="13" t="s">
        <v>39</v>
      </c>
      <c r="C32" s="13">
        <v>43385</v>
      </c>
      <c r="D32" s="5">
        <v>104</v>
      </c>
      <c r="E32" s="6" t="s">
        <v>75</v>
      </c>
      <c r="F32" s="5" t="s">
        <v>95</v>
      </c>
      <c r="G32" s="6" t="s">
        <v>94</v>
      </c>
      <c r="H32" s="5" t="str">
        <f>"000283"</f>
        <v>000283</v>
      </c>
      <c r="I32" s="4">
        <v>43171</v>
      </c>
      <c r="J32" s="5" t="str">
        <f>"000116"</f>
        <v>000116</v>
      </c>
      <c r="K32" s="4">
        <v>43461</v>
      </c>
      <c r="L32" s="5" t="str">
        <f>"000175"</f>
        <v>000175</v>
      </c>
      <c r="M32" s="4">
        <v>43463</v>
      </c>
      <c r="N32" s="5">
        <v>17</v>
      </c>
      <c r="O32" s="5" t="str">
        <f>""</f>
        <v/>
      </c>
      <c r="P32" s="4"/>
      <c r="Q32" s="7">
        <v>115.44933</v>
      </c>
      <c r="R32" s="7">
        <v>4.2331000000000003</v>
      </c>
      <c r="S32" s="7">
        <v>111.21623</v>
      </c>
      <c r="T32" s="5">
        <v>228</v>
      </c>
      <c r="U32" s="4">
        <v>43385</v>
      </c>
      <c r="V32" s="5">
        <v>9845222227</v>
      </c>
      <c r="W32" s="6" t="s">
        <v>71</v>
      </c>
      <c r="X32" s="5" t="s">
        <v>28</v>
      </c>
      <c r="Y32" s="6" t="s">
        <v>29</v>
      </c>
      <c r="Z32" s="5" t="s">
        <v>65</v>
      </c>
      <c r="AA32" s="6" t="s">
        <v>64</v>
      </c>
      <c r="AB32" s="7">
        <f>Q32/100</f>
        <v>1.1544932999999999</v>
      </c>
      <c r="AD32" s="8"/>
      <c r="AF32" s="8"/>
      <c r="AG32" s="8"/>
    </row>
    <row r="33" spans="1:33" x14ac:dyDescent="0.2">
      <c r="A33" s="12">
        <v>6141</v>
      </c>
      <c r="B33" s="13" t="s">
        <v>39</v>
      </c>
      <c r="C33" s="13">
        <v>43385</v>
      </c>
      <c r="D33" s="5">
        <v>104</v>
      </c>
      <c r="E33" s="6" t="s">
        <v>75</v>
      </c>
      <c r="F33" s="5" t="s">
        <v>93</v>
      </c>
      <c r="G33" s="6" t="s">
        <v>92</v>
      </c>
      <c r="H33" s="5" t="str">
        <f>"000050"</f>
        <v>000050</v>
      </c>
      <c r="I33" s="4">
        <v>42635</v>
      </c>
      <c r="J33" s="5" t="str">
        <f>"00008A"</f>
        <v>00008A</v>
      </c>
      <c r="K33" s="4">
        <v>42853</v>
      </c>
      <c r="L33" s="5" t="str">
        <f>"000041"</f>
        <v>000041</v>
      </c>
      <c r="M33" s="4">
        <v>42853</v>
      </c>
      <c r="N33" s="5">
        <v>17</v>
      </c>
      <c r="O33" s="5" t="str">
        <f>"006040"</f>
        <v>006040</v>
      </c>
      <c r="P33" s="4">
        <v>43374</v>
      </c>
      <c r="Q33" s="7">
        <v>46.722329999999999</v>
      </c>
      <c r="R33" s="7">
        <v>6.5128300000000001</v>
      </c>
      <c r="S33" s="7">
        <v>40.209499999999998</v>
      </c>
      <c r="T33" s="5">
        <v>230</v>
      </c>
      <c r="U33" s="4">
        <v>43385</v>
      </c>
      <c r="V33" s="5">
        <v>9900000000</v>
      </c>
      <c r="W33" s="6" t="s">
        <v>66</v>
      </c>
      <c r="X33" s="5" t="s">
        <v>60</v>
      </c>
      <c r="Y33" s="6" t="s">
        <v>59</v>
      </c>
      <c r="Z33" s="5" t="s">
        <v>65</v>
      </c>
      <c r="AA33" s="6" t="s">
        <v>64</v>
      </c>
      <c r="AB33" s="7">
        <f>Q33/100</f>
        <v>0.46722330000000001</v>
      </c>
      <c r="AD33" s="8"/>
      <c r="AF33" s="8"/>
      <c r="AG33" s="8"/>
    </row>
    <row r="34" spans="1:33" x14ac:dyDescent="0.2">
      <c r="A34" s="12">
        <v>6566</v>
      </c>
      <c r="B34" s="13" t="s">
        <v>39</v>
      </c>
      <c r="C34" s="13">
        <v>43389</v>
      </c>
      <c r="D34" s="5">
        <v>104</v>
      </c>
      <c r="E34" s="6" t="s">
        <v>75</v>
      </c>
      <c r="F34" s="5" t="s">
        <v>91</v>
      </c>
      <c r="G34" s="6" t="s">
        <v>90</v>
      </c>
      <c r="H34" s="5" t="str">
        <f>"000025"</f>
        <v>000025</v>
      </c>
      <c r="I34" s="4">
        <v>42706</v>
      </c>
      <c r="J34" s="5" t="str">
        <f>"000001"</f>
        <v>000001</v>
      </c>
      <c r="K34" s="4">
        <v>42825</v>
      </c>
      <c r="L34" s="5" t="str">
        <f>"000003"</f>
        <v>000003</v>
      </c>
      <c r="M34" s="4">
        <v>42948</v>
      </c>
      <c r="N34" s="5">
        <v>17</v>
      </c>
      <c r="O34" s="5" t="str">
        <f>"006655"</f>
        <v>006655</v>
      </c>
      <c r="P34" s="4">
        <v>43385</v>
      </c>
      <c r="Q34" s="7">
        <v>49.531770000000002</v>
      </c>
      <c r="R34" s="7">
        <v>6.0433199999999996</v>
      </c>
      <c r="S34" s="7">
        <v>43.48845</v>
      </c>
      <c r="T34" s="5">
        <v>239</v>
      </c>
      <c r="U34" s="4">
        <v>43389</v>
      </c>
      <c r="V34" s="5">
        <v>9482515779</v>
      </c>
      <c r="W34" s="6" t="s">
        <v>63</v>
      </c>
      <c r="X34" s="5" t="s">
        <v>89</v>
      </c>
      <c r="Y34" s="6" t="s">
        <v>88</v>
      </c>
      <c r="Z34" s="5" t="s">
        <v>62</v>
      </c>
      <c r="AA34" s="6" t="s">
        <v>61</v>
      </c>
      <c r="AB34" s="7">
        <f>Q34/100</f>
        <v>0.49531770000000003</v>
      </c>
      <c r="AD34" s="8"/>
      <c r="AF34" s="8"/>
      <c r="AG34" s="8"/>
    </row>
    <row r="35" spans="1:33" x14ac:dyDescent="0.2">
      <c r="A35" s="12">
        <v>6853</v>
      </c>
      <c r="B35" s="13" t="s">
        <v>39</v>
      </c>
      <c r="C35" s="13">
        <v>43398</v>
      </c>
      <c r="D35" s="5">
        <v>104</v>
      </c>
      <c r="E35" s="6" t="s">
        <v>75</v>
      </c>
      <c r="F35" s="5" t="s">
        <v>87</v>
      </c>
      <c r="G35" s="6" t="s">
        <v>86</v>
      </c>
      <c r="H35" s="5" t="str">
        <f>"000140"</f>
        <v>000140</v>
      </c>
      <c r="I35" s="4">
        <v>43132</v>
      </c>
      <c r="J35" s="5" t="str">
        <f>"000089"</f>
        <v>000089</v>
      </c>
      <c r="K35" s="4">
        <v>43358</v>
      </c>
      <c r="L35" s="5" t="str">
        <f>"000136"</f>
        <v>000136</v>
      </c>
      <c r="M35" s="4">
        <v>43358</v>
      </c>
      <c r="N35" s="5">
        <v>18</v>
      </c>
      <c r="O35" s="5" t="str">
        <f>"006852"</f>
        <v>006852</v>
      </c>
      <c r="P35" s="4">
        <v>43393</v>
      </c>
      <c r="Q35" s="7">
        <v>5.86355</v>
      </c>
      <c r="R35" s="7">
        <v>0.64370000000000005</v>
      </c>
      <c r="S35" s="7">
        <v>5.2198500000000001</v>
      </c>
      <c r="T35" s="5">
        <v>247</v>
      </c>
      <c r="U35" s="4">
        <v>43398</v>
      </c>
      <c r="V35" s="5">
        <v>9900000000</v>
      </c>
      <c r="W35" s="6" t="s">
        <v>66</v>
      </c>
      <c r="X35" s="5" t="s">
        <v>43</v>
      </c>
      <c r="Y35" s="6" t="s">
        <v>42</v>
      </c>
      <c r="Z35" s="5" t="s">
        <v>65</v>
      </c>
      <c r="AA35" s="6" t="s">
        <v>64</v>
      </c>
      <c r="AB35" s="7">
        <f>Q35/100</f>
        <v>5.86355E-2</v>
      </c>
      <c r="AD35" s="8"/>
      <c r="AF35" s="8"/>
      <c r="AG35" s="8"/>
    </row>
    <row r="36" spans="1:33" x14ac:dyDescent="0.2">
      <c r="A36" s="12">
        <v>6934</v>
      </c>
      <c r="B36" s="13" t="s">
        <v>39</v>
      </c>
      <c r="C36" s="13">
        <v>43402</v>
      </c>
      <c r="D36" s="5">
        <v>104</v>
      </c>
      <c r="E36" s="6" t="s">
        <v>75</v>
      </c>
      <c r="F36" s="5" t="s">
        <v>85</v>
      </c>
      <c r="G36" s="6" t="s">
        <v>84</v>
      </c>
      <c r="H36" s="5" t="str">
        <f>"000282"</f>
        <v>000282</v>
      </c>
      <c r="I36" s="4">
        <v>43171</v>
      </c>
      <c r="J36" s="5" t="str">
        <f>"000117"</f>
        <v>000117</v>
      </c>
      <c r="K36" s="4">
        <v>43461</v>
      </c>
      <c r="L36" s="5" t="str">
        <f>"000176"</f>
        <v>000176</v>
      </c>
      <c r="M36" s="4">
        <v>43463</v>
      </c>
      <c r="N36" s="5">
        <v>17</v>
      </c>
      <c r="O36" s="5" t="str">
        <f>""</f>
        <v/>
      </c>
      <c r="P36" s="4"/>
      <c r="Q36" s="7">
        <v>85.186909999999997</v>
      </c>
      <c r="R36" s="7">
        <v>3.5809500000000001</v>
      </c>
      <c r="S36" s="7">
        <v>81.605959999999996</v>
      </c>
      <c r="T36" s="5">
        <v>252</v>
      </c>
      <c r="U36" s="4">
        <v>43402</v>
      </c>
      <c r="V36" s="5">
        <v>9845222227</v>
      </c>
      <c r="W36" s="6" t="s">
        <v>71</v>
      </c>
      <c r="X36" s="5" t="s">
        <v>28</v>
      </c>
      <c r="Y36" s="6" t="s">
        <v>29</v>
      </c>
      <c r="Z36" s="5" t="s">
        <v>65</v>
      </c>
      <c r="AA36" s="6" t="s">
        <v>64</v>
      </c>
      <c r="AB36" s="7">
        <f>Q36/100</f>
        <v>0.85186909999999993</v>
      </c>
      <c r="AD36" s="8"/>
      <c r="AF36" s="8"/>
      <c r="AG36" s="8"/>
    </row>
    <row r="37" spans="1:33" x14ac:dyDescent="0.2">
      <c r="A37" s="12">
        <v>7240</v>
      </c>
      <c r="B37" s="13" t="s">
        <v>56</v>
      </c>
      <c r="C37" s="13">
        <v>43420</v>
      </c>
      <c r="D37" s="5">
        <v>104</v>
      </c>
      <c r="E37" s="6" t="s">
        <v>75</v>
      </c>
      <c r="F37" s="5" t="s">
        <v>83</v>
      </c>
      <c r="G37" s="6" t="s">
        <v>82</v>
      </c>
      <c r="H37" s="5" t="str">
        <f>"000068"</f>
        <v>000068</v>
      </c>
      <c r="I37" s="4">
        <v>42685</v>
      </c>
      <c r="J37" s="5" t="str">
        <f>"000026"</f>
        <v>000026</v>
      </c>
      <c r="K37" s="4">
        <v>42825</v>
      </c>
      <c r="L37" s="5" t="str">
        <f>"000026"</f>
        <v>000026</v>
      </c>
      <c r="M37" s="4">
        <v>42884</v>
      </c>
      <c r="N37" s="5">
        <v>16</v>
      </c>
      <c r="O37" s="5" t="str">
        <f>"007290"</f>
        <v>007290</v>
      </c>
      <c r="P37" s="4">
        <v>43407</v>
      </c>
      <c r="Q37" s="7">
        <v>14.48461</v>
      </c>
      <c r="R37" s="7">
        <v>1.74959</v>
      </c>
      <c r="S37" s="7">
        <v>12.73502</v>
      </c>
      <c r="T37" s="5">
        <v>266</v>
      </c>
      <c r="U37" s="4">
        <v>43420</v>
      </c>
      <c r="V37" s="5">
        <v>8951913366</v>
      </c>
      <c r="W37" s="6" t="s">
        <v>63</v>
      </c>
      <c r="X37" s="5" t="s">
        <v>60</v>
      </c>
      <c r="Y37" s="6" t="s">
        <v>59</v>
      </c>
      <c r="Z37" s="5" t="s">
        <v>62</v>
      </c>
      <c r="AA37" s="6" t="s">
        <v>61</v>
      </c>
      <c r="AB37" s="7">
        <f>Q37/100</f>
        <v>0.14484610000000001</v>
      </c>
      <c r="AD37" s="8"/>
      <c r="AF37" s="8"/>
      <c r="AG37" s="8"/>
    </row>
    <row r="38" spans="1:33" x14ac:dyDescent="0.2">
      <c r="A38" s="12">
        <v>7535</v>
      </c>
      <c r="B38" s="13" t="s">
        <v>38</v>
      </c>
      <c r="C38" s="13">
        <v>43437</v>
      </c>
      <c r="D38" s="5">
        <v>104</v>
      </c>
      <c r="E38" s="6" t="s">
        <v>75</v>
      </c>
      <c r="F38" s="5" t="s">
        <v>81</v>
      </c>
      <c r="G38" s="6" t="s">
        <v>80</v>
      </c>
      <c r="H38" s="5" t="str">
        <f>"000264"</f>
        <v>000264</v>
      </c>
      <c r="I38" s="4">
        <v>43161</v>
      </c>
      <c r="J38" s="5" t="str">
        <f>"000178"</f>
        <v>000178</v>
      </c>
      <c r="K38" s="4">
        <v>43161</v>
      </c>
      <c r="L38" s="5" t="str">
        <f>"000194"</f>
        <v>000194</v>
      </c>
      <c r="M38" s="4">
        <v>43161</v>
      </c>
      <c r="N38" s="5">
        <v>18</v>
      </c>
      <c r="O38" s="5" t="str">
        <f>"007613"</f>
        <v>007613</v>
      </c>
      <c r="P38" s="4">
        <v>43432</v>
      </c>
      <c r="Q38" s="7">
        <v>150.0582</v>
      </c>
      <c r="R38" s="7">
        <v>17.857500000000002</v>
      </c>
      <c r="S38" s="7">
        <v>132.20070000000001</v>
      </c>
      <c r="T38" s="5">
        <v>280</v>
      </c>
      <c r="U38" s="4">
        <v>43437</v>
      </c>
      <c r="V38" s="5">
        <v>9900000000</v>
      </c>
      <c r="W38" s="6" t="s">
        <v>66</v>
      </c>
      <c r="X38" s="5" t="s">
        <v>79</v>
      </c>
      <c r="Y38" s="6" t="s">
        <v>78</v>
      </c>
      <c r="Z38" s="5" t="s">
        <v>65</v>
      </c>
      <c r="AA38" s="6" t="s">
        <v>64</v>
      </c>
      <c r="AB38" s="7">
        <f>Q38/100</f>
        <v>1.5005820000000001</v>
      </c>
      <c r="AD38" s="8"/>
      <c r="AF38" s="8"/>
      <c r="AG38" s="8"/>
    </row>
    <row r="39" spans="1:33" x14ac:dyDescent="0.2">
      <c r="A39" s="12">
        <v>7904</v>
      </c>
      <c r="B39" s="13" t="s">
        <v>38</v>
      </c>
      <c r="C39" s="13">
        <v>43454</v>
      </c>
      <c r="D39" s="5">
        <v>104</v>
      </c>
      <c r="E39" s="6" t="s">
        <v>75</v>
      </c>
      <c r="F39" s="5" t="s">
        <v>77</v>
      </c>
      <c r="G39" s="6" t="s">
        <v>76</v>
      </c>
      <c r="H39" s="5" t="str">
        <f>"000107"</f>
        <v>000107</v>
      </c>
      <c r="I39" s="4">
        <v>43103</v>
      </c>
      <c r="J39" s="5" t="str">
        <f>"000116"</f>
        <v>000116</v>
      </c>
      <c r="K39" s="4">
        <v>43105</v>
      </c>
      <c r="L39" s="5" t="str">
        <f>"000113"</f>
        <v>000113</v>
      </c>
      <c r="M39" s="4">
        <v>43105</v>
      </c>
      <c r="N39" s="5">
        <v>13</v>
      </c>
      <c r="O39" s="5" t="str">
        <f>"007926"</f>
        <v>007926</v>
      </c>
      <c r="P39" s="4">
        <v>43447</v>
      </c>
      <c r="Q39" s="7">
        <v>14.368069999999999</v>
      </c>
      <c r="R39" s="7">
        <v>1.6388499999999999</v>
      </c>
      <c r="S39" s="7">
        <v>12.72922</v>
      </c>
      <c r="T39" s="5">
        <v>298</v>
      </c>
      <c r="U39" s="4">
        <v>43454</v>
      </c>
      <c r="V39" s="5">
        <v>9900000000</v>
      </c>
      <c r="W39" s="6" t="s">
        <v>66</v>
      </c>
      <c r="X39" s="5" t="s">
        <v>51</v>
      </c>
      <c r="Y39" s="6" t="s">
        <v>50</v>
      </c>
      <c r="Z39" s="5" t="s">
        <v>65</v>
      </c>
      <c r="AA39" s="6" t="s">
        <v>64</v>
      </c>
      <c r="AB39" s="7">
        <f>Q39/100</f>
        <v>0.14368069999999999</v>
      </c>
      <c r="AD39" s="8"/>
      <c r="AF39" s="8"/>
      <c r="AG39" s="8"/>
    </row>
    <row r="40" spans="1:33" x14ac:dyDescent="0.2">
      <c r="A40" s="12">
        <v>7905</v>
      </c>
      <c r="B40" s="13" t="s">
        <v>38</v>
      </c>
      <c r="C40" s="13">
        <v>43454</v>
      </c>
      <c r="D40" s="5">
        <v>104</v>
      </c>
      <c r="E40" s="6" t="s">
        <v>75</v>
      </c>
      <c r="F40" s="5" t="s">
        <v>74</v>
      </c>
      <c r="G40" s="6" t="s">
        <v>73</v>
      </c>
      <c r="H40" s="5" t="str">
        <f>"0.0022"</f>
        <v>0.0022</v>
      </c>
      <c r="I40" s="4">
        <v>42903</v>
      </c>
      <c r="J40" s="5" t="str">
        <f>"000108"</f>
        <v>000108</v>
      </c>
      <c r="K40" s="4">
        <v>43402</v>
      </c>
      <c r="L40" s="5" t="str">
        <f>"000109"</f>
        <v>000109</v>
      </c>
      <c r="M40" s="4">
        <v>43402</v>
      </c>
      <c r="N40" s="5">
        <v>16</v>
      </c>
      <c r="O40" s="5" t="str">
        <f>"008093"</f>
        <v>008093</v>
      </c>
      <c r="P40" s="4">
        <v>43454</v>
      </c>
      <c r="Q40" s="7">
        <v>75.367149999999995</v>
      </c>
      <c r="R40" s="7">
        <v>3.43194</v>
      </c>
      <c r="S40" s="7">
        <v>71.935209999999998</v>
      </c>
      <c r="T40" s="5">
        <v>300</v>
      </c>
      <c r="U40" s="4">
        <v>43454</v>
      </c>
      <c r="V40" s="5">
        <v>9480685613</v>
      </c>
      <c r="W40" s="6" t="s">
        <v>72</v>
      </c>
      <c r="X40" s="5" t="s">
        <v>58</v>
      </c>
      <c r="Y40" s="6" t="s">
        <v>57</v>
      </c>
      <c r="Z40" s="5" t="s">
        <v>62</v>
      </c>
      <c r="AA40" s="6" t="s">
        <v>61</v>
      </c>
      <c r="AB40" s="7">
        <f>Q40/100</f>
        <v>0.75367149999999994</v>
      </c>
      <c r="AD40" s="8"/>
      <c r="AF40" s="8"/>
      <c r="AG40" s="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2019-01-08T05:01:28Z</dcterms:created>
  <dcterms:modified xsi:type="dcterms:W3CDTF">2019-01-17T07:35:46Z</dcterms:modified>
</cp:coreProperties>
</file>