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H27" i="1"/>
  <c r="J27" i="1"/>
  <c r="L27" i="1"/>
  <c r="O27" i="1"/>
  <c r="H28" i="1"/>
  <c r="J28" i="1"/>
  <c r="L28" i="1"/>
  <c r="O28" i="1"/>
  <c r="H29" i="1"/>
  <c r="J29" i="1"/>
  <c r="L29" i="1"/>
  <c r="O29" i="1"/>
  <c r="H30" i="1"/>
  <c r="J30" i="1"/>
  <c r="L30" i="1"/>
  <c r="O30" i="1"/>
  <c r="H31" i="1"/>
  <c r="J31" i="1"/>
  <c r="L31" i="1"/>
  <c r="O31" i="1"/>
  <c r="H32" i="1"/>
  <c r="J32" i="1"/>
  <c r="L32" i="1"/>
  <c r="O32" i="1"/>
  <c r="H33" i="1"/>
  <c r="J33" i="1"/>
  <c r="L33" i="1"/>
  <c r="O33" i="1"/>
  <c r="AB33" i="1"/>
  <c r="H34" i="1"/>
  <c r="J34" i="1"/>
  <c r="L34" i="1"/>
  <c r="O34" i="1"/>
  <c r="AB34" i="1"/>
  <c r="H35" i="1"/>
  <c r="J35" i="1"/>
  <c r="L35" i="1"/>
  <c r="O35" i="1"/>
  <c r="AB35" i="1"/>
  <c r="H36" i="1"/>
  <c r="J36" i="1"/>
  <c r="L36" i="1"/>
  <c r="O36" i="1"/>
  <c r="AB36" i="1"/>
  <c r="H37" i="1"/>
  <c r="J37" i="1"/>
  <c r="L37" i="1"/>
  <c r="O37" i="1"/>
  <c r="AB37" i="1"/>
  <c r="H38" i="1"/>
  <c r="J38" i="1"/>
  <c r="L38" i="1"/>
  <c r="O38" i="1"/>
  <c r="AB38" i="1"/>
  <c r="H39" i="1"/>
  <c r="J39" i="1"/>
  <c r="L39" i="1"/>
  <c r="O39" i="1"/>
  <c r="AB39" i="1"/>
  <c r="H40" i="1"/>
  <c r="J40" i="1"/>
  <c r="L40" i="1"/>
  <c r="O40" i="1"/>
  <c r="AB40" i="1"/>
  <c r="H41" i="1"/>
  <c r="J41" i="1"/>
  <c r="L41" i="1"/>
  <c r="O41" i="1"/>
  <c r="AB41" i="1"/>
  <c r="H42" i="1"/>
  <c r="J42" i="1"/>
  <c r="L42" i="1"/>
  <c r="O42" i="1"/>
  <c r="AB42" i="1"/>
  <c r="H43" i="1"/>
  <c r="J43" i="1"/>
  <c r="L43" i="1"/>
  <c r="O43" i="1"/>
  <c r="AB43" i="1"/>
  <c r="H44" i="1"/>
  <c r="J44" i="1"/>
  <c r="L44" i="1"/>
  <c r="O44" i="1"/>
  <c r="AB44" i="1"/>
  <c r="H45" i="1"/>
  <c r="J45" i="1"/>
  <c r="L45" i="1"/>
  <c r="O45" i="1"/>
  <c r="AB45" i="1"/>
  <c r="H46" i="1"/>
  <c r="J46" i="1"/>
  <c r="L46" i="1"/>
  <c r="O46" i="1"/>
  <c r="AB46" i="1"/>
  <c r="H47" i="1"/>
  <c r="J47" i="1"/>
  <c r="L47" i="1"/>
  <c r="O47" i="1"/>
  <c r="AB47" i="1"/>
  <c r="H48" i="1"/>
  <c r="J48" i="1"/>
  <c r="L48" i="1"/>
  <c r="O48" i="1"/>
  <c r="AB48" i="1"/>
  <c r="H49" i="1"/>
  <c r="J49" i="1"/>
  <c r="L49" i="1"/>
  <c r="O49" i="1"/>
  <c r="AB49" i="1"/>
  <c r="H50" i="1"/>
  <c r="J50" i="1"/>
  <c r="L50" i="1"/>
  <c r="O50" i="1"/>
  <c r="AB50" i="1"/>
</calcChain>
</file>

<file path=xl/sharedStrings.xml><?xml version="1.0" encoding="utf-8"?>
<sst xmlns="http://schemas.openxmlformats.org/spreadsheetml/2006/main" count="469" uniqueCount="184">
  <si>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</si>
  <si>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</si>
  <si>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</si>
  <si>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</si>
  <si>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</si>
  <si>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</si>
  <si>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</si>
  <si>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</si>
  <si>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</si>
  <si>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</si>
  <si>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</si>
  <si>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</si>
  <si>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</si>
  <si>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</si>
  <si>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</si>
  <si>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</si>
  <si>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</si>
  <si>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</si>
  <si>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</si>
  <si>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</si>
  <si>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</si>
  <si>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</si>
  <si>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</si>
  <si>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</si>
  <si>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</si>
  <si>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</si>
  <si>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</si>
  <si>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</si>
  <si>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</si>
  <si>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</si>
  <si>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</si>
  <si>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</si>
  <si>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</si>
  <si>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</si>
  <si>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</si>
  <si>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</si>
  <si>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</si>
  <si>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</si>
  <si>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</si>
  <si>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</si>
  <si>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December</t>
  </si>
  <si>
    <t>October</t>
  </si>
  <si>
    <t>State Finance Commission Untied Grant Works</t>
  </si>
  <si>
    <t>P3111</t>
  </si>
  <si>
    <t>April</t>
  </si>
  <si>
    <t>KRIDL</t>
  </si>
  <si>
    <t>Water Supply New Areas</t>
  </si>
  <si>
    <t>P1802</t>
  </si>
  <si>
    <t>June</t>
  </si>
  <si>
    <t>Assembly Constituency Development Works under BBMP</t>
  </si>
  <si>
    <t>P2201</t>
  </si>
  <si>
    <t>Works sanctioned by Dy. Mayor</t>
  </si>
  <si>
    <t>P2178</t>
  </si>
  <si>
    <t>14th Finance Commission Works - Road and Footpath Maintenance</t>
  </si>
  <si>
    <t>P3296</t>
  </si>
  <si>
    <t>Nagarothana Works</t>
  </si>
  <si>
    <t>P3106</t>
  </si>
  <si>
    <t>Works sanctioned by Hon Mayor</t>
  </si>
  <si>
    <t>P0190</t>
  </si>
  <si>
    <t>Special comprehensive development works in Bangalore city (Bangalore city in charge Minister Discretionary Grants)</t>
  </si>
  <si>
    <t>P3075</t>
  </si>
  <si>
    <t>Reserve fund for TandF Committee</t>
  </si>
  <si>
    <t>P2415</t>
  </si>
  <si>
    <t>M/s.KRIDL</t>
  </si>
  <si>
    <t xml:space="preserve"> Executive Engineer (Project) Rajarajeshwari Nagar Zone</t>
  </si>
  <si>
    <t>ddo008</t>
  </si>
  <si>
    <t>Karnataka Rural Infrastructure Development Ltd</t>
  </si>
  <si>
    <t xml:space="preserve"> Executive Engineer Road Infrastructure Rajarajeshwari Nagar Division Central Zone</t>
  </si>
  <si>
    <t>ddo661</t>
  </si>
  <si>
    <t xml:space="preserve"> Executive Engineer (Electrical) Rajarajeshwari Nagar Zone</t>
  </si>
  <si>
    <t>ddo009</t>
  </si>
  <si>
    <t>Ganga Enterprises Prop S.N Pradeep Kumar</t>
  </si>
  <si>
    <t xml:space="preserve"> Assistant Executive Engineer Kengeri Sub Division Rajarajeshwari Nagar Zone</t>
  </si>
  <si>
    <t>ddo012</t>
  </si>
  <si>
    <t>Special Development works at  Yeshwanthpur, Shantinagar, K.R.Puram, Assembly Constituencies Rs.5.00 Cr. Each</t>
  </si>
  <si>
    <t>P3321</t>
  </si>
  <si>
    <t>M. Rajesh (Sri Nanjundeshwara construction)</t>
  </si>
  <si>
    <t>Drilling Borewells for Water Supply in ward no 130.</t>
  </si>
  <si>
    <t>130-18-000023</t>
  </si>
  <si>
    <t>Ullalu</t>
  </si>
  <si>
    <t>M/S KRIDL</t>
  </si>
  <si>
    <t xml:space="preserve">Improvements to Footpath and beautification to Indira Kitchen Premises in ward.130 Ullal  </t>
  </si>
  <si>
    <t>130-18-000078</t>
  </si>
  <si>
    <t xml:space="preserve">Improvements of roads and drains at Shivanapalya in ward No.130, Ullalu. </t>
  </si>
  <si>
    <t>130-18-000035</t>
  </si>
  <si>
    <t>Improvements of Roads and Drains at Shivanapalya cross Roads near Pataladamma Temple ward no 130</t>
  </si>
  <si>
    <t>130-18-000070</t>
  </si>
  <si>
    <t>Sinking Energing and Commissioning of Borewells  in Ward No 130 Ullal</t>
  </si>
  <si>
    <t>130-18-000042</t>
  </si>
  <si>
    <t xml:space="preserve">M/S.KRIDL </t>
  </si>
  <si>
    <t>Construction of Prathana Yoga and Dyana Mandira at ward no 130</t>
  </si>
  <si>
    <t>130-17-000006</t>
  </si>
  <si>
    <t>Construction of Bus Shelters 7 Nos. in Ullal Ward No. 130</t>
  </si>
  <si>
    <t>130-18-000029</t>
  </si>
  <si>
    <t xml:space="preserve">Improvements of Roads and Drains at 3rd Stage Bhuvaneshwarinagar in Ward No130 Ullal </t>
  </si>
  <si>
    <t>130-18-000083</t>
  </si>
  <si>
    <t>M/S.KRIDL</t>
  </si>
  <si>
    <t>Supply of Drinking water by tankers in Ward No 130</t>
  </si>
  <si>
    <t>130-17-000028</t>
  </si>
  <si>
    <t>Providing  missing bits of Pipelines  in  Ward No 130 Ullal</t>
  </si>
  <si>
    <t>130-17-000087</t>
  </si>
  <si>
    <t>Supply Drinking Water through tanker in  Ward No 130 Ullal</t>
  </si>
  <si>
    <t>130-17-000088</t>
  </si>
  <si>
    <t>Yankana Gowda Naganoor</t>
  </si>
  <si>
    <t>Replacing and Repairs of Existing Pipeline and Missing bits at Ward Jurdictions Ward No 130 Ullal</t>
  </si>
  <si>
    <t>130-15-000025</t>
  </si>
  <si>
    <t>Providing RO plants in Ullal ward limit  in ward no 130</t>
  </si>
  <si>
    <t>130-17-000062</t>
  </si>
  <si>
    <t>Improvements and Asphalting to Srinivasa layout and Kulume road   in ward no 130</t>
  </si>
  <si>
    <t>130-17-000053</t>
  </si>
  <si>
    <t>Improvements and Asphalting to roads at Ramjyothinagar of ward.130</t>
  </si>
  <si>
    <t>130-16-000042</t>
  </si>
  <si>
    <t>Sri Nanjundeshwara Construction Rajesh M. S/o M.K.Gooligowda</t>
  </si>
  <si>
    <t>Improvements and Asphlating to main road and cross roads at Byaravanagara and Jhnanabharathi 1st block  in ward no 130.</t>
  </si>
  <si>
    <t>130-15-000015</t>
  </si>
  <si>
    <t xml:space="preserve">Jaya Narayan, Prop. Sai Electricom Com </t>
  </si>
  <si>
    <t>Providing and fixing of LED Street lights  in Ward No 130 in Kengeri Division</t>
  </si>
  <si>
    <t>130-17-000059</t>
  </si>
  <si>
    <t>Construction of additional Rooms to High School in Doddagollarahatti in ward No.130</t>
  </si>
  <si>
    <t>130-18-000025</t>
  </si>
  <si>
    <t>Construction of additional rooms to primary School in Doddagollarahatti in ward No.130</t>
  </si>
  <si>
    <t>130-18-000024</t>
  </si>
  <si>
    <t>Sri Najundeshwara Constructions Rajesh M S/o M.K. Gooligowda</t>
  </si>
  <si>
    <t>Improvements and Asphlating to main road and cross roads at Dubasipalya NK and JK farm in ward no 130.</t>
  </si>
  <si>
    <t>130-15-000014</t>
  </si>
  <si>
    <t>Operation and Maintenance of Street Light System in Ward No.130-Ullalu(P-Nagadevanahalli) Package R32 of RajarajeshwariNagar Zone.</t>
  </si>
  <si>
    <t>130-16-000002</t>
  </si>
  <si>
    <t>M/S Venketeshwara Electricals</t>
  </si>
  <si>
    <t>Operation and Maintenance of Street Light System in Ward No.130-Ullalu(P-Dubasipalya) Package R33 of RajarajeshwariNagar Zone.</t>
  </si>
  <si>
    <t>130-16-000003</t>
  </si>
  <si>
    <t>Sri Yankana Gowda Naganoor</t>
  </si>
  <si>
    <t>Improvements to Road Drain and Culverts at Udayashankar and other roads in Vekkalamma Badavane in ward no 130</t>
  </si>
  <si>
    <t>130-13-000011</t>
  </si>
  <si>
    <t>Improvements to roads and drain at Ramjyothinagar in ward.130</t>
  </si>
  <si>
    <t>130-16-000041</t>
  </si>
  <si>
    <t xml:space="preserve">Shashi Kumar S.M </t>
  </si>
  <si>
    <t>Engagement of Gangman and Hiring of Troctor Tippers for cleaning and maintenance of road side drains and other cleaning works in ward 130</t>
  </si>
  <si>
    <t>130-17-000090</t>
  </si>
  <si>
    <t>M/S Venkteshwara Electricals</t>
  </si>
  <si>
    <t>Operation and Maintenance of Street Light System in Ward No.130-Ullalu(P-Ullalu) Package R31 of RajarajeshwariNagar Zone.</t>
  </si>
  <si>
    <t>130-16-000001</t>
  </si>
  <si>
    <t>Road network arterial roads (Project Division and Major Road Division)</t>
  </si>
  <si>
    <t>P1732</t>
  </si>
  <si>
    <t>Technical Manager-3, KRIDL</t>
  </si>
  <si>
    <t>Improvements and asphalting to Doddabasthi main road from Kenchanapura cross to Amma Ashram in ward no.130</t>
  </si>
  <si>
    <t>130-14-000067</t>
  </si>
  <si>
    <t>Sri.K Kiran Kumar (M.V.Infra services Pvt.Ltd</t>
  </si>
  <si>
    <t>Providing CC Camera at Garbage Black Spots in ward no 130</t>
  </si>
  <si>
    <t>130-17-000089</t>
  </si>
  <si>
    <t>Improvement of Street lighting system at Maruthinagara and other places of ward no 130 (Ullalu)</t>
  </si>
  <si>
    <t>130-17-000001</t>
  </si>
  <si>
    <t>Sinking energzising and commissing of Borewells in Ward No 130 Ullal</t>
  </si>
  <si>
    <t>130-17-000085</t>
  </si>
  <si>
    <t>Providing water supply through tankers in ward no 130.</t>
  </si>
  <si>
    <t>130-15-000004</t>
  </si>
  <si>
    <t>Hosahalli Boregowda Boregowda</t>
  </si>
  <si>
    <t>Improvements of Drains Culverts at Nagadevanahalli near Chitra kuta School in Ward No 130 Ullal</t>
  </si>
  <si>
    <t>130-16-000013</t>
  </si>
  <si>
    <t>M/s K K Plastic Waste Management Ltd</t>
  </si>
  <si>
    <t>Improvements and asphalting to Keerthi Bakery road from Kengeri ring road to Dubasipalya joining ring road via Windows Hospital road in ward No. 130.</t>
  </si>
  <si>
    <t>130-14-000065</t>
  </si>
  <si>
    <t>Chandrappa</t>
  </si>
  <si>
    <t>Improvements to Road drain and Culverts at Ration depo road in Ullal Upanagara in Ward No 130 in Kengeri sub division</t>
  </si>
  <si>
    <t>130-12-000075</t>
  </si>
  <si>
    <t>Yankanagowda Naganoor</t>
  </si>
  <si>
    <t>Maintanence of BBMP borewells in ward no 130.</t>
  </si>
  <si>
    <t>130-15-000006</t>
  </si>
  <si>
    <t>Varun V</t>
  </si>
  <si>
    <t>Providing CDs at Bhuvaneshwari Nagar Ward No 130 Ullal</t>
  </si>
  <si>
    <t>130-16-000011</t>
  </si>
  <si>
    <t xml:space="preserve">M/s. Mecadez  Core Technologies Pvt. Ltd </t>
  </si>
  <si>
    <t>Construction of OWC and improvements to suurounding areas at SMV Nagar in W N 130</t>
  </si>
  <si>
    <t>130-17-000096</t>
  </si>
  <si>
    <t>Improvements of roads and drains at Thimmappa swamy temple surrounding Doddagollarahatti in Ward No. 130</t>
  </si>
  <si>
    <t>130-18-000027</t>
  </si>
  <si>
    <t>Construction of Yoga Kendra and Office Room in Doddagollarahatti in Ward No. 130</t>
  </si>
  <si>
    <t>130-18-000030</t>
  </si>
  <si>
    <t>Providing Open Gym equipments to AGS park Ullalu in ward no 130</t>
  </si>
  <si>
    <t>130-17-000003</t>
  </si>
  <si>
    <t>Providing Open Gym equipments in Park at 3rd stage Jananbharathi in ward no 130</t>
  </si>
  <si>
    <t>130-17-000002</t>
  </si>
  <si>
    <t>MAS Associates</t>
  </si>
  <si>
    <t>Preparation of Detailed Project Report for the Work of Improvement and Asphalting of 6 selected Arterial, Sub-Arterial and other roads in Ward No.130, Rajarajeshwarinagara zone under Package GOK-2016-17-N-RI-RRN-Package-03</t>
  </si>
  <si>
    <t>304-17-000053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</si>
</sst>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tabSelected="1" workbookViewId="0">
      <selection activeCell="A2" sqref="A2:XFD50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119</v>
      </c>
      <c r="B2" s="13" t="s">
        <v>44</v>
      </c>
      <c r="C2" s="13">
        <v>43194</v>
      </c>
      <c r="D2" s="5">
        <v>130</v>
      </c>
      <c r="E2" s="6" t="s">
        <v>79</v>
      </c>
      <c r="F2" s="5" t="s">
        <v>183</v>
      </c>
      <c r="G2" s="6" t="s">
        <v>182</v>
      </c>
      <c r="H2" s="5" t="str">
        <f>"000013"</f>
        <v>000013</v>
      </c>
      <c r="I2" s="4">
        <v>42598</v>
      </c>
      <c r="J2" s="5" t="str">
        <f>""</f>
        <v/>
      </c>
      <c r="K2" s="4"/>
      <c r="L2" s="5" t="str">
        <f>""</f>
        <v/>
      </c>
      <c r="M2" s="4"/>
      <c r="N2" s="5">
        <v>17</v>
      </c>
      <c r="O2" s="5" t="str">
        <f>""</f>
        <v/>
      </c>
      <c r="P2" s="4"/>
      <c r="Q2" s="7">
        <v>3.375</v>
      </c>
      <c r="R2" s="7">
        <v>0.33750000000000002</v>
      </c>
      <c r="S2" s="7">
        <v>3.0375000000000001</v>
      </c>
      <c r="T2" s="5">
        <v>1</v>
      </c>
      <c r="U2" s="4">
        <v>43194</v>
      </c>
      <c r="V2" s="5">
        <v>9164537179</v>
      </c>
      <c r="W2" s="6" t="s">
        <v>181</v>
      </c>
      <c r="X2" s="5" t="s">
        <v>28</v>
      </c>
      <c r="Y2" s="6" t="s">
        <v>29</v>
      </c>
      <c r="Z2" s="5" t="s">
        <v>68</v>
      </c>
      <c r="AA2" s="6" t="s">
        <v>67</v>
      </c>
      <c r="AB2" s="7">
        <v>3.3750000000000002E-2</v>
      </c>
      <c r="AD2" s="8"/>
      <c r="AF2" s="8"/>
      <c r="AG2" s="8"/>
    </row>
    <row r="3" spans="1:33" x14ac:dyDescent="0.2">
      <c r="A3" s="12">
        <v>415</v>
      </c>
      <c r="B3" s="13" t="s">
        <v>44</v>
      </c>
      <c r="C3" s="13">
        <v>43200</v>
      </c>
      <c r="D3" s="5">
        <v>130</v>
      </c>
      <c r="E3" s="6" t="s">
        <v>79</v>
      </c>
      <c r="F3" s="5" t="s">
        <v>180</v>
      </c>
      <c r="G3" s="6" t="s">
        <v>179</v>
      </c>
      <c r="H3" s="5" t="str">
        <f>"000031"</f>
        <v>000031</v>
      </c>
      <c r="I3" s="4">
        <v>42608</v>
      </c>
      <c r="J3" s="5" t="str">
        <f>"000043"</f>
        <v>000043</v>
      </c>
      <c r="K3" s="4">
        <v>42706</v>
      </c>
      <c r="L3" s="5" t="str">
        <f>"000052"</f>
        <v>000052</v>
      </c>
      <c r="M3" s="4">
        <v>42706</v>
      </c>
      <c r="N3" s="5">
        <v>17</v>
      </c>
      <c r="O3" s="5" t="str">
        <f>"000395"</f>
        <v>000395</v>
      </c>
      <c r="P3" s="4">
        <v>43197</v>
      </c>
      <c r="Q3" s="7">
        <v>24.998650000000001</v>
      </c>
      <c r="R3" s="7">
        <v>3.3786499999999999</v>
      </c>
      <c r="S3" s="7">
        <v>21.62</v>
      </c>
      <c r="T3" s="5">
        <v>10</v>
      </c>
      <c r="U3" s="4">
        <v>43200</v>
      </c>
      <c r="V3" s="5">
        <v>8904904737</v>
      </c>
      <c r="W3" s="6" t="s">
        <v>66</v>
      </c>
      <c r="X3" s="5" t="s">
        <v>58</v>
      </c>
      <c r="Y3" s="6" t="s">
        <v>57</v>
      </c>
      <c r="Z3" s="5" t="s">
        <v>65</v>
      </c>
      <c r="AA3" s="6" t="s">
        <v>64</v>
      </c>
      <c r="AB3" s="7">
        <v>0.2499865</v>
      </c>
      <c r="AD3" s="8"/>
      <c r="AF3" s="8"/>
      <c r="AG3" s="8"/>
    </row>
    <row r="4" spans="1:33" x14ac:dyDescent="0.2">
      <c r="A4" s="12">
        <v>416</v>
      </c>
      <c r="B4" s="13" t="s">
        <v>44</v>
      </c>
      <c r="C4" s="13">
        <v>43200</v>
      </c>
      <c r="D4" s="5">
        <v>130</v>
      </c>
      <c r="E4" s="6" t="s">
        <v>79</v>
      </c>
      <c r="F4" s="5" t="s">
        <v>178</v>
      </c>
      <c r="G4" s="6" t="s">
        <v>177</v>
      </c>
      <c r="H4" s="5" t="str">
        <f>"000032"</f>
        <v>000032</v>
      </c>
      <c r="I4" s="4">
        <v>42608</v>
      </c>
      <c r="J4" s="5" t="str">
        <f>"000044"</f>
        <v>000044</v>
      </c>
      <c r="K4" s="4">
        <v>42706</v>
      </c>
      <c r="L4" s="5" t="str">
        <f>"000053"</f>
        <v>000053</v>
      </c>
      <c r="M4" s="4">
        <v>42706</v>
      </c>
      <c r="N4" s="5">
        <v>17</v>
      </c>
      <c r="O4" s="5" t="str">
        <f>"000396"</f>
        <v>000396</v>
      </c>
      <c r="P4" s="4">
        <v>43197</v>
      </c>
      <c r="Q4" s="7">
        <v>24.993480000000002</v>
      </c>
      <c r="R4" s="7">
        <v>3.38348</v>
      </c>
      <c r="S4" s="7">
        <v>21.61</v>
      </c>
      <c r="T4" s="5">
        <v>10</v>
      </c>
      <c r="U4" s="4">
        <v>43200</v>
      </c>
      <c r="V4" s="5">
        <v>8904904737</v>
      </c>
      <c r="W4" s="6" t="s">
        <v>66</v>
      </c>
      <c r="X4" s="5" t="s">
        <v>58</v>
      </c>
      <c r="Y4" s="6" t="s">
        <v>57</v>
      </c>
      <c r="Z4" s="5" t="s">
        <v>65</v>
      </c>
      <c r="AA4" s="6" t="s">
        <v>64</v>
      </c>
      <c r="AB4" s="7">
        <v>0.24993480000000001</v>
      </c>
      <c r="AD4" s="8"/>
      <c r="AF4" s="8"/>
      <c r="AG4" s="8"/>
    </row>
    <row r="5" spans="1:33" x14ac:dyDescent="0.2">
      <c r="A5" s="12">
        <v>543</v>
      </c>
      <c r="B5" s="13" t="s">
        <v>44</v>
      </c>
      <c r="C5" s="13">
        <v>43203</v>
      </c>
      <c r="D5" s="5">
        <v>130</v>
      </c>
      <c r="E5" s="6" t="s">
        <v>79</v>
      </c>
      <c r="F5" s="5" t="s">
        <v>176</v>
      </c>
      <c r="G5" s="6" t="s">
        <v>175</v>
      </c>
      <c r="H5" s="5" t="str">
        <f>"000135"</f>
        <v>000135</v>
      </c>
      <c r="I5" s="4">
        <v>43083</v>
      </c>
      <c r="J5" s="5" t="str">
        <f>"333461"</f>
        <v>333461</v>
      </c>
      <c r="K5" s="4">
        <v>43187</v>
      </c>
      <c r="L5" s="5" t="str">
        <f>"000438"</f>
        <v>000438</v>
      </c>
      <c r="M5" s="4">
        <v>43190</v>
      </c>
      <c r="N5" s="5">
        <v>18</v>
      </c>
      <c r="O5" s="5" t="str">
        <f>"000485"</f>
        <v>000485</v>
      </c>
      <c r="P5" s="4">
        <v>43202</v>
      </c>
      <c r="Q5" s="7">
        <v>46.131700000000002</v>
      </c>
      <c r="R5" s="7">
        <v>3.8646600000000002</v>
      </c>
      <c r="S5" s="7">
        <v>42.267040000000001</v>
      </c>
      <c r="T5" s="5">
        <v>16</v>
      </c>
      <c r="U5" s="4">
        <v>43203</v>
      </c>
      <c r="V5" s="5">
        <v>9845235505</v>
      </c>
      <c r="W5" s="6" t="s">
        <v>63</v>
      </c>
      <c r="X5" s="5" t="s">
        <v>43</v>
      </c>
      <c r="Y5" s="6" t="s">
        <v>42</v>
      </c>
      <c r="Z5" s="5" t="s">
        <v>73</v>
      </c>
      <c r="AA5" s="6" t="s">
        <v>72</v>
      </c>
      <c r="AB5" s="7">
        <v>0.46131700000000003</v>
      </c>
      <c r="AD5" s="8"/>
      <c r="AF5" s="8"/>
      <c r="AG5" s="8"/>
    </row>
    <row r="6" spans="1:33" x14ac:dyDescent="0.2">
      <c r="A6" s="12">
        <v>735</v>
      </c>
      <c r="B6" s="13" t="s">
        <v>44</v>
      </c>
      <c r="C6" s="13">
        <v>43216</v>
      </c>
      <c r="D6" s="5">
        <v>130</v>
      </c>
      <c r="E6" s="6" t="s">
        <v>79</v>
      </c>
      <c r="F6" s="5" t="s">
        <v>174</v>
      </c>
      <c r="G6" s="6" t="s">
        <v>173</v>
      </c>
      <c r="H6" s="5" t="str">
        <f>"000360"</f>
        <v>000360</v>
      </c>
      <c r="I6" s="4">
        <v>43167</v>
      </c>
      <c r="J6" s="5" t="str">
        <f>"000039"</f>
        <v>000039</v>
      </c>
      <c r="K6" s="4">
        <v>43201</v>
      </c>
      <c r="L6" s="5" t="str">
        <f>"000036"</f>
        <v>000036</v>
      </c>
      <c r="M6" s="4">
        <v>43201</v>
      </c>
      <c r="N6" s="5">
        <v>18</v>
      </c>
      <c r="O6" s="5" t="str">
        <f>"000687"</f>
        <v>000687</v>
      </c>
      <c r="P6" s="4">
        <v>43215</v>
      </c>
      <c r="Q6" s="7">
        <v>48.121859999999998</v>
      </c>
      <c r="R6" s="7">
        <v>4.1908799999999999</v>
      </c>
      <c r="S6" s="7">
        <v>43.930979999999998</v>
      </c>
      <c r="T6" s="5">
        <v>27</v>
      </c>
      <c r="U6" s="4">
        <v>43216</v>
      </c>
      <c r="V6" s="5">
        <v>9845235505</v>
      </c>
      <c r="W6" s="6" t="s">
        <v>80</v>
      </c>
      <c r="X6" s="5" t="s">
        <v>43</v>
      </c>
      <c r="Y6" s="6" t="s">
        <v>42</v>
      </c>
      <c r="Z6" s="5" t="s">
        <v>73</v>
      </c>
      <c r="AA6" s="6" t="s">
        <v>72</v>
      </c>
      <c r="AB6" s="7">
        <v>0.4812186</v>
      </c>
      <c r="AD6" s="8"/>
      <c r="AF6" s="8"/>
      <c r="AG6" s="8"/>
    </row>
    <row r="7" spans="1:33" x14ac:dyDescent="0.2">
      <c r="A7" s="12">
        <v>1008</v>
      </c>
      <c r="B7" s="13" t="s">
        <v>36</v>
      </c>
      <c r="C7" s="13">
        <v>43229</v>
      </c>
      <c r="D7" s="5">
        <v>130</v>
      </c>
      <c r="E7" s="6" t="s">
        <v>79</v>
      </c>
      <c r="F7" s="5" t="s">
        <v>172</v>
      </c>
      <c r="G7" s="6" t="s">
        <v>171</v>
      </c>
      <c r="H7" s="5" t="str">
        <f>"000104"</f>
        <v>000104</v>
      </c>
      <c r="I7" s="4">
        <v>43075</v>
      </c>
      <c r="J7" s="5" t="str">
        <f>"333395"</f>
        <v>333395</v>
      </c>
      <c r="K7" s="4">
        <v>43118</v>
      </c>
      <c r="L7" s="5" t="str">
        <f>"000345"</f>
        <v>000345</v>
      </c>
      <c r="M7" s="4">
        <v>43120</v>
      </c>
      <c r="N7" s="5">
        <v>17</v>
      </c>
      <c r="O7" s="5" t="str">
        <f>"009317"</f>
        <v>009317</v>
      </c>
      <c r="P7" s="4">
        <v>43131</v>
      </c>
      <c r="Q7" s="7">
        <v>0.69230000000000003</v>
      </c>
      <c r="R7" s="7">
        <v>6.923E-2</v>
      </c>
      <c r="S7" s="7">
        <v>0.62307000000000001</v>
      </c>
      <c r="T7" s="5">
        <v>46</v>
      </c>
      <c r="U7" s="4">
        <v>43229</v>
      </c>
      <c r="V7" s="5">
        <v>9538136111</v>
      </c>
      <c r="W7" s="6" t="s">
        <v>170</v>
      </c>
      <c r="X7" s="5" t="s">
        <v>38</v>
      </c>
      <c r="Y7" s="6" t="s">
        <v>39</v>
      </c>
      <c r="Z7" s="5" t="s">
        <v>73</v>
      </c>
      <c r="AA7" s="6" t="s">
        <v>72</v>
      </c>
      <c r="AB7" s="7">
        <v>6.9230000000000003E-3</v>
      </c>
      <c r="AD7" s="8"/>
      <c r="AF7" s="8"/>
      <c r="AG7" s="8"/>
    </row>
    <row r="8" spans="1:33" x14ac:dyDescent="0.2">
      <c r="A8" s="12">
        <v>1234</v>
      </c>
      <c r="B8" s="13" t="s">
        <v>36</v>
      </c>
      <c r="C8" s="13">
        <v>43238</v>
      </c>
      <c r="D8" s="5">
        <v>130</v>
      </c>
      <c r="E8" s="6" t="s">
        <v>79</v>
      </c>
      <c r="F8" s="5" t="s">
        <v>169</v>
      </c>
      <c r="G8" s="6" t="s">
        <v>168</v>
      </c>
      <c r="H8" s="5" t="str">
        <f>"000033"</f>
        <v>000033</v>
      </c>
      <c r="I8" s="4">
        <v>42522</v>
      </c>
      <c r="J8" s="5" t="str">
        <f>"000084"</f>
        <v>000084</v>
      </c>
      <c r="K8" s="4">
        <v>42590</v>
      </c>
      <c r="L8" s="5" t="str">
        <f>"000197"</f>
        <v>000197</v>
      </c>
      <c r="M8" s="4">
        <v>42590</v>
      </c>
      <c r="N8" s="5">
        <v>16</v>
      </c>
      <c r="O8" s="5" t="str">
        <f>"001379"</f>
        <v>001379</v>
      </c>
      <c r="P8" s="4">
        <v>43236</v>
      </c>
      <c r="Q8" s="7">
        <v>9.9808800000000009</v>
      </c>
      <c r="R8" s="7">
        <v>0.70703000000000005</v>
      </c>
      <c r="S8" s="7">
        <v>9.2738499999999995</v>
      </c>
      <c r="T8" s="5">
        <v>52</v>
      </c>
      <c r="U8" s="4">
        <v>43238</v>
      </c>
      <c r="V8" s="5">
        <v>9902988754</v>
      </c>
      <c r="W8" s="6" t="s">
        <v>167</v>
      </c>
      <c r="X8" s="5" t="s">
        <v>31</v>
      </c>
      <c r="Y8" s="6" t="s">
        <v>32</v>
      </c>
      <c r="Z8" s="5" t="s">
        <v>73</v>
      </c>
      <c r="AA8" s="6" t="s">
        <v>72</v>
      </c>
      <c r="AB8" s="7">
        <v>9.9808800000000003E-2</v>
      </c>
      <c r="AD8" s="8"/>
      <c r="AF8" s="8"/>
      <c r="AG8" s="8"/>
    </row>
    <row r="9" spans="1:33" x14ac:dyDescent="0.2">
      <c r="A9" s="12">
        <v>1559</v>
      </c>
      <c r="B9" s="13" t="s">
        <v>36</v>
      </c>
      <c r="C9" s="13">
        <v>43251</v>
      </c>
      <c r="D9" s="5">
        <v>130</v>
      </c>
      <c r="E9" s="6" t="s">
        <v>79</v>
      </c>
      <c r="F9" s="5" t="s">
        <v>166</v>
      </c>
      <c r="G9" s="6" t="s">
        <v>165</v>
      </c>
      <c r="H9" s="5" t="str">
        <f>"000252"</f>
        <v>000252</v>
      </c>
      <c r="I9" s="4">
        <v>42452</v>
      </c>
      <c r="J9" s="5" t="str">
        <f>"000104"</f>
        <v>000104</v>
      </c>
      <c r="K9" s="4">
        <v>42611</v>
      </c>
      <c r="L9" s="5" t="str">
        <f>""</f>
        <v/>
      </c>
      <c r="M9" s="4">
        <v>104</v>
      </c>
      <c r="N9" s="5">
        <v>15</v>
      </c>
      <c r="O9" s="5" t="str">
        <f>""</f>
        <v/>
      </c>
      <c r="P9" s="4"/>
      <c r="Q9" s="7">
        <v>18.885059999999999</v>
      </c>
      <c r="R9" s="7">
        <v>2.10738</v>
      </c>
      <c r="S9" s="7">
        <v>16.77768</v>
      </c>
      <c r="T9" s="5">
        <v>67</v>
      </c>
      <c r="U9" s="4">
        <v>43251</v>
      </c>
      <c r="V9" s="5">
        <v>9483501967</v>
      </c>
      <c r="W9" s="6" t="s">
        <v>164</v>
      </c>
      <c r="X9" s="5" t="s">
        <v>31</v>
      </c>
      <c r="Y9" s="6" t="s">
        <v>32</v>
      </c>
      <c r="Z9" s="5" t="s">
        <v>73</v>
      </c>
      <c r="AA9" s="6" t="s">
        <v>72</v>
      </c>
      <c r="AB9" s="7">
        <v>0.18885059999999998</v>
      </c>
      <c r="AD9" s="8"/>
      <c r="AF9" s="8"/>
      <c r="AG9" s="8"/>
    </row>
    <row r="10" spans="1:33" x14ac:dyDescent="0.2">
      <c r="A10" s="12">
        <v>2589</v>
      </c>
      <c r="B10" s="13" t="s">
        <v>48</v>
      </c>
      <c r="C10" s="13">
        <v>43274</v>
      </c>
      <c r="D10" s="5">
        <v>130</v>
      </c>
      <c r="E10" s="6" t="s">
        <v>79</v>
      </c>
      <c r="F10" s="5" t="s">
        <v>163</v>
      </c>
      <c r="G10" s="6" t="s">
        <v>162</v>
      </c>
      <c r="H10" s="5" t="str">
        <f>"000182"</f>
        <v>000182</v>
      </c>
      <c r="I10" s="4">
        <v>41148</v>
      </c>
      <c r="J10" s="5" t="str">
        <f>"000133"</f>
        <v>000133</v>
      </c>
      <c r="K10" s="4">
        <v>42305</v>
      </c>
      <c r="L10" s="5" t="str">
        <f>"000303"</f>
        <v>000303</v>
      </c>
      <c r="M10" s="4">
        <v>42671</v>
      </c>
      <c r="N10" s="5">
        <v>12</v>
      </c>
      <c r="O10" s="5" t="str">
        <f>"002839"</f>
        <v>002839</v>
      </c>
      <c r="P10" s="4">
        <v>43273</v>
      </c>
      <c r="Q10" s="7">
        <v>1.3793800000000001</v>
      </c>
      <c r="R10" s="7">
        <v>0.10138</v>
      </c>
      <c r="S10" s="7">
        <v>1.278</v>
      </c>
      <c r="T10" s="5">
        <v>99</v>
      </c>
      <c r="U10" s="4">
        <v>43274</v>
      </c>
      <c r="V10" s="5">
        <v>9448185327</v>
      </c>
      <c r="W10" s="6" t="s">
        <v>161</v>
      </c>
      <c r="X10" s="5" t="s">
        <v>31</v>
      </c>
      <c r="Y10" s="6" t="s">
        <v>32</v>
      </c>
      <c r="Z10" s="5" t="s">
        <v>73</v>
      </c>
      <c r="AA10" s="6" t="s">
        <v>72</v>
      </c>
      <c r="AB10" s="7">
        <v>1.37938E-2</v>
      </c>
      <c r="AD10" s="8"/>
      <c r="AF10" s="8"/>
      <c r="AG10" s="8"/>
    </row>
    <row r="11" spans="1:33" x14ac:dyDescent="0.2">
      <c r="A11" s="12">
        <v>2716</v>
      </c>
      <c r="B11" s="13" t="s">
        <v>48</v>
      </c>
      <c r="C11" s="13">
        <v>43278</v>
      </c>
      <c r="D11" s="5">
        <v>130</v>
      </c>
      <c r="E11" s="6" t="s">
        <v>79</v>
      </c>
      <c r="F11" s="5" t="s">
        <v>160</v>
      </c>
      <c r="G11" s="6" t="s">
        <v>159</v>
      </c>
      <c r="H11" s="5" t="str">
        <f>"000018"</f>
        <v>000018</v>
      </c>
      <c r="I11" s="4">
        <v>41843</v>
      </c>
      <c r="J11" s="5" t="str">
        <f>"000065"</f>
        <v>000065</v>
      </c>
      <c r="K11" s="4">
        <v>42290</v>
      </c>
      <c r="L11" s="5" t="str">
        <f>"000065"</f>
        <v>000065</v>
      </c>
      <c r="M11" s="4">
        <v>42290</v>
      </c>
      <c r="N11" s="5">
        <v>14</v>
      </c>
      <c r="O11" s="5" t="str">
        <f>"004206"</f>
        <v>004206</v>
      </c>
      <c r="P11" s="4">
        <v>42356</v>
      </c>
      <c r="Q11" s="7">
        <v>1.97346</v>
      </c>
      <c r="R11" s="7">
        <v>0.11841</v>
      </c>
      <c r="S11" s="7">
        <v>1.8550500000000001</v>
      </c>
      <c r="T11" s="5">
        <v>103</v>
      </c>
      <c r="U11" s="4">
        <v>43278</v>
      </c>
      <c r="V11" s="5">
        <v>9880045817</v>
      </c>
      <c r="W11" s="6" t="s">
        <v>158</v>
      </c>
      <c r="X11" s="5" t="s">
        <v>142</v>
      </c>
      <c r="Y11" s="6" t="s">
        <v>141</v>
      </c>
      <c r="Z11" s="5" t="s">
        <v>68</v>
      </c>
      <c r="AA11" s="6" t="s">
        <v>67</v>
      </c>
      <c r="AB11" s="7">
        <v>1.9734600000000001E-2</v>
      </c>
      <c r="AD11" s="8"/>
      <c r="AF11" s="8"/>
      <c r="AG11" s="8"/>
    </row>
    <row r="12" spans="1:33" x14ac:dyDescent="0.2">
      <c r="A12" s="12">
        <v>2895</v>
      </c>
      <c r="B12" s="13" t="s">
        <v>33</v>
      </c>
      <c r="C12" s="13">
        <v>43283</v>
      </c>
      <c r="D12" s="5">
        <v>130</v>
      </c>
      <c r="E12" s="6" t="s">
        <v>79</v>
      </c>
      <c r="F12" s="5" t="s">
        <v>157</v>
      </c>
      <c r="G12" s="6" t="s">
        <v>156</v>
      </c>
      <c r="H12" s="5" t="str">
        <f>"000249"</f>
        <v>000249</v>
      </c>
      <c r="I12" s="4">
        <v>42451</v>
      </c>
      <c r="J12" s="5" t="str">
        <f>"000154"</f>
        <v>000154</v>
      </c>
      <c r="K12" s="4">
        <v>42671</v>
      </c>
      <c r="L12" s="5" t="str">
        <f>"000331"</f>
        <v>000331</v>
      </c>
      <c r="M12" s="4">
        <v>42697</v>
      </c>
      <c r="N12" s="5">
        <v>16</v>
      </c>
      <c r="O12" s="5" t="str">
        <f>"003109"</f>
        <v>003109</v>
      </c>
      <c r="P12" s="4">
        <v>43280</v>
      </c>
      <c r="Q12" s="7">
        <v>13.62884</v>
      </c>
      <c r="R12" s="7">
        <v>0.93391999999999997</v>
      </c>
      <c r="S12" s="7">
        <v>12.69492</v>
      </c>
      <c r="T12" s="5">
        <v>106</v>
      </c>
      <c r="U12" s="4">
        <v>43283</v>
      </c>
      <c r="V12" s="5">
        <v>9900155965</v>
      </c>
      <c r="W12" s="6" t="s">
        <v>155</v>
      </c>
      <c r="X12" s="5" t="s">
        <v>31</v>
      </c>
      <c r="Y12" s="6" t="s">
        <v>32</v>
      </c>
      <c r="Z12" s="5" t="s">
        <v>73</v>
      </c>
      <c r="AA12" s="6" t="s">
        <v>72</v>
      </c>
      <c r="AB12" s="7">
        <v>0.1362884</v>
      </c>
      <c r="AD12" s="8"/>
      <c r="AF12" s="8"/>
      <c r="AG12" s="8"/>
    </row>
    <row r="13" spans="1:33" x14ac:dyDescent="0.2">
      <c r="A13" s="12">
        <v>2896</v>
      </c>
      <c r="B13" s="13" t="s">
        <v>33</v>
      </c>
      <c r="C13" s="13">
        <v>43283</v>
      </c>
      <c r="D13" s="5">
        <v>130</v>
      </c>
      <c r="E13" s="6" t="s">
        <v>79</v>
      </c>
      <c r="F13" s="5" t="s">
        <v>154</v>
      </c>
      <c r="G13" s="6" t="s">
        <v>153</v>
      </c>
      <c r="H13" s="5" t="str">
        <f>"000189"</f>
        <v>000189</v>
      </c>
      <c r="I13" s="4">
        <v>42727</v>
      </c>
      <c r="J13" s="5" t="str">
        <f>"000008"</f>
        <v>000008</v>
      </c>
      <c r="K13" s="4">
        <v>42843</v>
      </c>
      <c r="L13" s="5" t="str">
        <f>"000038"</f>
        <v>000038</v>
      </c>
      <c r="M13" s="4">
        <v>42854</v>
      </c>
      <c r="N13" s="5">
        <v>15</v>
      </c>
      <c r="O13" s="5" t="str">
        <f>"003083"</f>
        <v>003083</v>
      </c>
      <c r="P13" s="4">
        <v>43280</v>
      </c>
      <c r="Q13" s="7">
        <v>17.949110000000001</v>
      </c>
      <c r="R13" s="7">
        <v>2.1723400000000002</v>
      </c>
      <c r="S13" s="7">
        <v>15.776770000000001</v>
      </c>
      <c r="T13" s="5">
        <v>107</v>
      </c>
      <c r="U13" s="4">
        <v>43283</v>
      </c>
      <c r="V13" s="5">
        <v>9845235505</v>
      </c>
      <c r="W13" s="6" t="s">
        <v>45</v>
      </c>
      <c r="X13" s="5" t="s">
        <v>31</v>
      </c>
      <c r="Y13" s="6" t="s">
        <v>32</v>
      </c>
      <c r="Z13" s="5" t="s">
        <v>73</v>
      </c>
      <c r="AA13" s="6" t="s">
        <v>72</v>
      </c>
      <c r="AB13" s="7">
        <v>0.17949110000000001</v>
      </c>
      <c r="AD13" s="8"/>
      <c r="AF13" s="8"/>
      <c r="AG13" s="8"/>
    </row>
    <row r="14" spans="1:33" x14ac:dyDescent="0.2">
      <c r="A14" s="12">
        <v>2897</v>
      </c>
      <c r="B14" s="13" t="s">
        <v>33</v>
      </c>
      <c r="C14" s="13">
        <v>43283</v>
      </c>
      <c r="D14" s="5">
        <v>130</v>
      </c>
      <c r="E14" s="6" t="s">
        <v>79</v>
      </c>
      <c r="F14" s="5" t="s">
        <v>152</v>
      </c>
      <c r="G14" s="6" t="s">
        <v>151</v>
      </c>
      <c r="H14" s="5" t="str">
        <f>"000044"</f>
        <v>000044</v>
      </c>
      <c r="I14" s="4">
        <v>42845</v>
      </c>
      <c r="J14" s="5" t="str">
        <f>"000048"</f>
        <v>000048</v>
      </c>
      <c r="K14" s="4">
        <v>42881</v>
      </c>
      <c r="L14" s="5" t="str">
        <f>"000082"</f>
        <v>000082</v>
      </c>
      <c r="M14" s="4">
        <v>42886</v>
      </c>
      <c r="N14" s="5">
        <v>17</v>
      </c>
      <c r="O14" s="5" t="str">
        <f>"003192"</f>
        <v>003192</v>
      </c>
      <c r="P14" s="4">
        <v>43280</v>
      </c>
      <c r="Q14" s="7">
        <v>14.97214</v>
      </c>
      <c r="R14" s="7">
        <v>1.8119099999999999</v>
      </c>
      <c r="S14" s="7">
        <v>13.16023</v>
      </c>
      <c r="T14" s="5">
        <v>107</v>
      </c>
      <c r="U14" s="4">
        <v>43283</v>
      </c>
      <c r="V14" s="5">
        <v>9845235505</v>
      </c>
      <c r="W14" s="6" t="s">
        <v>45</v>
      </c>
      <c r="X14" s="5" t="s">
        <v>47</v>
      </c>
      <c r="Y14" s="6" t="s">
        <v>46</v>
      </c>
      <c r="Z14" s="5" t="s">
        <v>73</v>
      </c>
      <c r="AA14" s="6" t="s">
        <v>72</v>
      </c>
      <c r="AB14" s="7">
        <v>0.1497214</v>
      </c>
      <c r="AD14" s="8"/>
      <c r="AF14" s="8"/>
      <c r="AG14" s="8"/>
    </row>
    <row r="15" spans="1:33" x14ac:dyDescent="0.2">
      <c r="A15" s="12">
        <v>2898</v>
      </c>
      <c r="B15" s="13" t="s">
        <v>33</v>
      </c>
      <c r="C15" s="13">
        <v>43283</v>
      </c>
      <c r="D15" s="5">
        <v>130</v>
      </c>
      <c r="E15" s="6" t="s">
        <v>79</v>
      </c>
      <c r="F15" s="5" t="s">
        <v>150</v>
      </c>
      <c r="G15" s="6" t="s">
        <v>149</v>
      </c>
      <c r="H15" s="5" t="str">
        <f>"000013"</f>
        <v>000013</v>
      </c>
      <c r="I15" s="4">
        <v>42826</v>
      </c>
      <c r="J15" s="5" t="str">
        <f>"000011"</f>
        <v>000011</v>
      </c>
      <c r="K15" s="4">
        <v>42859</v>
      </c>
      <c r="L15" s="5" t="str">
        <f>"000011"</f>
        <v>000011</v>
      </c>
      <c r="M15" s="4">
        <v>42860</v>
      </c>
      <c r="N15" s="5">
        <v>17</v>
      </c>
      <c r="O15" s="5" t="str">
        <f>"003065"</f>
        <v>003065</v>
      </c>
      <c r="P15" s="4">
        <v>43278</v>
      </c>
      <c r="Q15" s="7">
        <v>49.81662</v>
      </c>
      <c r="R15" s="7">
        <v>6.0278099999999997</v>
      </c>
      <c r="S15" s="7">
        <v>43.788809999999998</v>
      </c>
      <c r="T15" s="5">
        <v>108</v>
      </c>
      <c r="U15" s="4">
        <v>43283</v>
      </c>
      <c r="V15" s="5">
        <v>9448279917</v>
      </c>
      <c r="W15" s="6" t="s">
        <v>45</v>
      </c>
      <c r="X15" s="5" t="s">
        <v>62</v>
      </c>
      <c r="Y15" s="6" t="s">
        <v>61</v>
      </c>
      <c r="Z15" s="5" t="s">
        <v>70</v>
      </c>
      <c r="AA15" s="6" t="s">
        <v>69</v>
      </c>
      <c r="AB15" s="7">
        <v>0.4981662</v>
      </c>
      <c r="AD15" s="8"/>
      <c r="AF15" s="8"/>
      <c r="AG15" s="8"/>
    </row>
    <row r="16" spans="1:33" x14ac:dyDescent="0.2">
      <c r="A16" s="12">
        <v>3091</v>
      </c>
      <c r="B16" s="13" t="s">
        <v>33</v>
      </c>
      <c r="C16" s="13">
        <v>43287</v>
      </c>
      <c r="D16" s="5">
        <v>130</v>
      </c>
      <c r="E16" s="6" t="s">
        <v>79</v>
      </c>
      <c r="F16" s="5" t="s">
        <v>148</v>
      </c>
      <c r="G16" s="6" t="s">
        <v>147</v>
      </c>
      <c r="H16" s="5" t="str">
        <f>"000139"</f>
        <v>000139</v>
      </c>
      <c r="I16" s="4">
        <v>43089</v>
      </c>
      <c r="J16" s="5" t="str">
        <f>"000055"</f>
        <v>000055</v>
      </c>
      <c r="K16" s="4">
        <v>43215</v>
      </c>
      <c r="L16" s="5" t="str">
        <f>"000081"</f>
        <v>000081</v>
      </c>
      <c r="M16" s="4">
        <v>43216</v>
      </c>
      <c r="N16" s="5">
        <v>17</v>
      </c>
      <c r="O16" s="5" t="str">
        <f>"003345"</f>
        <v>003345</v>
      </c>
      <c r="P16" s="4">
        <v>43286</v>
      </c>
      <c r="Q16" s="7">
        <v>8.4388000000000005</v>
      </c>
      <c r="R16" s="7">
        <v>0.27361000000000002</v>
      </c>
      <c r="S16" s="7">
        <v>8.1651900000000008</v>
      </c>
      <c r="T16" s="5">
        <v>114</v>
      </c>
      <c r="U16" s="4">
        <v>43287</v>
      </c>
      <c r="V16" s="5">
        <v>9845193228</v>
      </c>
      <c r="W16" s="6" t="s">
        <v>146</v>
      </c>
      <c r="X16" s="5" t="s">
        <v>38</v>
      </c>
      <c r="Y16" s="6" t="s">
        <v>39</v>
      </c>
      <c r="Z16" s="5" t="s">
        <v>73</v>
      </c>
      <c r="AA16" s="6" t="s">
        <v>72</v>
      </c>
      <c r="AB16" s="7">
        <v>8.4388000000000005E-2</v>
      </c>
      <c r="AD16" s="8"/>
      <c r="AF16" s="8"/>
      <c r="AG16" s="8"/>
    </row>
    <row r="17" spans="1:33" x14ac:dyDescent="0.2">
      <c r="A17" s="12">
        <v>3323</v>
      </c>
      <c r="B17" s="13" t="s">
        <v>33</v>
      </c>
      <c r="C17" s="13">
        <v>43297</v>
      </c>
      <c r="D17" s="5">
        <v>130</v>
      </c>
      <c r="E17" s="6" t="s">
        <v>79</v>
      </c>
      <c r="F17" s="5" t="s">
        <v>145</v>
      </c>
      <c r="G17" s="6" t="s">
        <v>144</v>
      </c>
      <c r="H17" s="5" t="str">
        <f>"000013"</f>
        <v>000013</v>
      </c>
      <c r="I17" s="4">
        <v>41830</v>
      </c>
      <c r="J17" s="5" t="str">
        <f>"000040"</f>
        <v>000040</v>
      </c>
      <c r="K17" s="4">
        <v>42634</v>
      </c>
      <c r="L17" s="5" t="str">
        <f>"000040"</f>
        <v>000040</v>
      </c>
      <c r="M17" s="4">
        <v>42634</v>
      </c>
      <c r="N17" s="5">
        <v>14</v>
      </c>
      <c r="O17" s="5" t="str">
        <f>"003489"</f>
        <v>003489</v>
      </c>
      <c r="P17" s="4">
        <v>43291</v>
      </c>
      <c r="Q17" s="7">
        <v>22.973849999999999</v>
      </c>
      <c r="R17" s="7">
        <v>3.1398600000000001</v>
      </c>
      <c r="S17" s="7">
        <v>19.83399</v>
      </c>
      <c r="T17" s="5">
        <v>125</v>
      </c>
      <c r="U17" s="4">
        <v>43297</v>
      </c>
      <c r="V17" s="5">
        <v>9448279917</v>
      </c>
      <c r="W17" s="6" t="s">
        <v>143</v>
      </c>
      <c r="X17" s="5" t="s">
        <v>142</v>
      </c>
      <c r="Y17" s="6" t="s">
        <v>141</v>
      </c>
      <c r="Z17" s="5" t="s">
        <v>68</v>
      </c>
      <c r="AA17" s="6" t="s">
        <v>67</v>
      </c>
      <c r="AB17" s="7">
        <v>0.22973849999999998</v>
      </c>
      <c r="AD17" s="8"/>
      <c r="AF17" s="8"/>
      <c r="AG17" s="8"/>
    </row>
    <row r="18" spans="1:33" x14ac:dyDescent="0.2">
      <c r="A18" s="12">
        <v>3568</v>
      </c>
      <c r="B18" s="13" t="s">
        <v>33</v>
      </c>
      <c r="C18" s="13">
        <v>43299</v>
      </c>
      <c r="D18" s="5">
        <v>130</v>
      </c>
      <c r="E18" s="6" t="s">
        <v>79</v>
      </c>
      <c r="F18" s="5" t="s">
        <v>140</v>
      </c>
      <c r="G18" s="6" t="s">
        <v>139</v>
      </c>
      <c r="H18" s="5" t="str">
        <f>"000018"</f>
        <v>000018</v>
      </c>
      <c r="I18" s="4">
        <v>42766</v>
      </c>
      <c r="J18" s="5" t="str">
        <f>"000118"</f>
        <v>000118</v>
      </c>
      <c r="K18" s="4">
        <v>43178</v>
      </c>
      <c r="L18" s="5" t="str">
        <f>"000118"</f>
        <v>000118</v>
      </c>
      <c r="M18" s="4">
        <v>43178</v>
      </c>
      <c r="N18" s="5">
        <v>16</v>
      </c>
      <c r="O18" s="5" t="str">
        <f>"004018"</f>
        <v>004018</v>
      </c>
      <c r="P18" s="4">
        <v>43300</v>
      </c>
      <c r="Q18" s="7">
        <v>3.8054600000000001</v>
      </c>
      <c r="R18" s="7">
        <v>0.52851000000000004</v>
      </c>
      <c r="S18" s="7">
        <v>3.2769499999999998</v>
      </c>
      <c r="T18" s="5">
        <v>127</v>
      </c>
      <c r="U18" s="4">
        <v>43299</v>
      </c>
      <c r="V18" s="5">
        <v>9845695444</v>
      </c>
      <c r="W18" s="6" t="s">
        <v>138</v>
      </c>
      <c r="X18" s="5" t="s">
        <v>34</v>
      </c>
      <c r="Y18" s="6" t="s">
        <v>35</v>
      </c>
      <c r="Z18" s="5" t="s">
        <v>70</v>
      </c>
      <c r="AA18" s="6" t="s">
        <v>69</v>
      </c>
      <c r="AB18" s="7">
        <v>3.8054600000000001E-2</v>
      </c>
      <c r="AD18" s="8"/>
      <c r="AF18" s="8"/>
      <c r="AG18" s="8"/>
    </row>
    <row r="19" spans="1:33" x14ac:dyDescent="0.2">
      <c r="A19" s="12">
        <v>3569</v>
      </c>
      <c r="B19" s="13" t="s">
        <v>33</v>
      </c>
      <c r="C19" s="13">
        <v>43299</v>
      </c>
      <c r="D19" s="5">
        <v>130</v>
      </c>
      <c r="E19" s="6" t="s">
        <v>79</v>
      </c>
      <c r="F19" s="5" t="s">
        <v>129</v>
      </c>
      <c r="G19" s="6" t="s">
        <v>128</v>
      </c>
      <c r="H19" s="5" t="str">
        <f>"000020"</f>
        <v>000020</v>
      </c>
      <c r="I19" s="4">
        <v>42766</v>
      </c>
      <c r="J19" s="5" t="str">
        <f>"000065"</f>
        <v>000065</v>
      </c>
      <c r="K19" s="4">
        <v>43105</v>
      </c>
      <c r="L19" s="5" t="str">
        <f>"000065"</f>
        <v>000065</v>
      </c>
      <c r="M19" s="4">
        <v>43105</v>
      </c>
      <c r="N19" s="5">
        <v>16</v>
      </c>
      <c r="O19" s="5" t="str">
        <f>"004571"</f>
        <v>004571</v>
      </c>
      <c r="P19" s="4">
        <v>43313</v>
      </c>
      <c r="Q19" s="7">
        <v>3.7539899999999999</v>
      </c>
      <c r="R19" s="7">
        <v>0.52176999999999996</v>
      </c>
      <c r="S19" s="7">
        <v>3.2322199999999999</v>
      </c>
      <c r="T19" s="5">
        <v>127</v>
      </c>
      <c r="U19" s="4">
        <v>43299</v>
      </c>
      <c r="V19" s="5">
        <v>9845695444</v>
      </c>
      <c r="W19" s="6" t="s">
        <v>127</v>
      </c>
      <c r="X19" s="5" t="s">
        <v>34</v>
      </c>
      <c r="Y19" s="6" t="s">
        <v>35</v>
      </c>
      <c r="Z19" s="5" t="s">
        <v>70</v>
      </c>
      <c r="AA19" s="6" t="s">
        <v>69</v>
      </c>
      <c r="AB19" s="7">
        <v>3.7539900000000001E-2</v>
      </c>
      <c r="AD19" s="8"/>
      <c r="AF19" s="8"/>
      <c r="AG19" s="8"/>
    </row>
    <row r="20" spans="1:33" x14ac:dyDescent="0.2">
      <c r="A20" s="12">
        <v>3570</v>
      </c>
      <c r="B20" s="13" t="s">
        <v>33</v>
      </c>
      <c r="C20" s="13">
        <v>43299</v>
      </c>
      <c r="D20" s="5">
        <v>130</v>
      </c>
      <c r="E20" s="6" t="s">
        <v>79</v>
      </c>
      <c r="F20" s="5" t="s">
        <v>140</v>
      </c>
      <c r="G20" s="6" t="s">
        <v>139</v>
      </c>
      <c r="H20" s="5" t="str">
        <f>"000018"</f>
        <v>000018</v>
      </c>
      <c r="I20" s="4">
        <v>42766</v>
      </c>
      <c r="J20" s="5" t="str">
        <f>"000118"</f>
        <v>000118</v>
      </c>
      <c r="K20" s="4">
        <v>43178</v>
      </c>
      <c r="L20" s="5" t="str">
        <f>"000118"</f>
        <v>000118</v>
      </c>
      <c r="M20" s="4">
        <v>43178</v>
      </c>
      <c r="N20" s="5">
        <v>16</v>
      </c>
      <c r="O20" s="5" t="str">
        <f>"004018"</f>
        <v>004018</v>
      </c>
      <c r="P20" s="4">
        <v>43300</v>
      </c>
      <c r="Q20" s="7">
        <v>3.8054600000000001</v>
      </c>
      <c r="R20" s="7">
        <v>0.26212999999999997</v>
      </c>
      <c r="S20" s="7">
        <v>3.5433300000000001</v>
      </c>
      <c r="T20" s="5">
        <v>127</v>
      </c>
      <c r="U20" s="4">
        <v>43299</v>
      </c>
      <c r="V20" s="5">
        <v>9845695444</v>
      </c>
      <c r="W20" s="6" t="s">
        <v>138</v>
      </c>
      <c r="X20" s="5" t="s">
        <v>34</v>
      </c>
      <c r="Y20" s="6" t="s">
        <v>35</v>
      </c>
      <c r="Z20" s="5" t="s">
        <v>70</v>
      </c>
      <c r="AA20" s="6" t="s">
        <v>69</v>
      </c>
      <c r="AB20" s="7">
        <v>3.8054600000000001E-2</v>
      </c>
      <c r="AD20" s="8"/>
      <c r="AF20" s="8"/>
      <c r="AG20" s="8"/>
    </row>
    <row r="21" spans="1:33" x14ac:dyDescent="0.2">
      <c r="A21" s="12">
        <v>3571</v>
      </c>
      <c r="B21" s="13" t="s">
        <v>33</v>
      </c>
      <c r="C21" s="13">
        <v>43299</v>
      </c>
      <c r="D21" s="5">
        <v>130</v>
      </c>
      <c r="E21" s="6" t="s">
        <v>79</v>
      </c>
      <c r="F21" s="5" t="s">
        <v>126</v>
      </c>
      <c r="G21" s="6" t="s">
        <v>125</v>
      </c>
      <c r="H21" s="5" t="str">
        <f>"000019"</f>
        <v>000019</v>
      </c>
      <c r="I21" s="4">
        <v>42766</v>
      </c>
      <c r="J21" s="5" t="str">
        <f>"000053"</f>
        <v>000053</v>
      </c>
      <c r="K21" s="4">
        <v>43089</v>
      </c>
      <c r="L21" s="5" t="str">
        <f>"000053"</f>
        <v>000053</v>
      </c>
      <c r="M21" s="4">
        <v>43089</v>
      </c>
      <c r="N21" s="5">
        <v>16</v>
      </c>
      <c r="O21" s="5" t="str">
        <f>"004594"</f>
        <v>004594</v>
      </c>
      <c r="P21" s="4">
        <v>43313</v>
      </c>
      <c r="Q21" s="7">
        <v>4.2398199999999999</v>
      </c>
      <c r="R21" s="7">
        <v>0.28864000000000001</v>
      </c>
      <c r="S21" s="7">
        <v>3.9511799999999999</v>
      </c>
      <c r="T21" s="5">
        <v>127</v>
      </c>
      <c r="U21" s="4">
        <v>43299</v>
      </c>
      <c r="V21" s="5">
        <v>9620096296</v>
      </c>
      <c r="W21" s="6" t="s">
        <v>71</v>
      </c>
      <c r="X21" s="5" t="s">
        <v>34</v>
      </c>
      <c r="Y21" s="6" t="s">
        <v>35</v>
      </c>
      <c r="Z21" s="5" t="s">
        <v>70</v>
      </c>
      <c r="AA21" s="6" t="s">
        <v>69</v>
      </c>
      <c r="AB21" s="7">
        <v>4.2398199999999997E-2</v>
      </c>
      <c r="AD21" s="8"/>
      <c r="AF21" s="8"/>
      <c r="AG21" s="8"/>
    </row>
    <row r="22" spans="1:33" x14ac:dyDescent="0.2">
      <c r="A22" s="12">
        <v>3772</v>
      </c>
      <c r="B22" s="13" t="s">
        <v>33</v>
      </c>
      <c r="C22" s="13">
        <v>43301</v>
      </c>
      <c r="D22" s="5">
        <v>130</v>
      </c>
      <c r="E22" s="6" t="s">
        <v>79</v>
      </c>
      <c r="F22" s="5" t="s">
        <v>126</v>
      </c>
      <c r="G22" s="6" t="s">
        <v>125</v>
      </c>
      <c r="H22" s="5" t="str">
        <f>"000019"</f>
        <v>000019</v>
      </c>
      <c r="I22" s="4">
        <v>42766</v>
      </c>
      <c r="J22" s="5" t="str">
        <f>"000053"</f>
        <v>000053</v>
      </c>
      <c r="K22" s="4">
        <v>43089</v>
      </c>
      <c r="L22" s="5" t="str">
        <f>"000053"</f>
        <v>000053</v>
      </c>
      <c r="M22" s="4">
        <v>43089</v>
      </c>
      <c r="N22" s="5">
        <v>16</v>
      </c>
      <c r="O22" s="5" t="str">
        <f>"004594"</f>
        <v>004594</v>
      </c>
      <c r="P22" s="4">
        <v>43313</v>
      </c>
      <c r="Q22" s="7">
        <v>1.6959299999999999</v>
      </c>
      <c r="R22" s="7">
        <v>0.11545999999999999</v>
      </c>
      <c r="S22" s="7">
        <v>1.58047</v>
      </c>
      <c r="T22" s="5">
        <v>134</v>
      </c>
      <c r="U22" s="4">
        <v>43301</v>
      </c>
      <c r="V22" s="5">
        <v>9620096296</v>
      </c>
      <c r="W22" s="6" t="s">
        <v>71</v>
      </c>
      <c r="X22" s="5" t="s">
        <v>34</v>
      </c>
      <c r="Y22" s="6" t="s">
        <v>35</v>
      </c>
      <c r="Z22" s="5" t="s">
        <v>70</v>
      </c>
      <c r="AA22" s="6" t="s">
        <v>69</v>
      </c>
      <c r="AB22" s="7">
        <v>1.69593E-2</v>
      </c>
      <c r="AD22" s="8"/>
      <c r="AF22" s="8"/>
      <c r="AG22" s="8"/>
    </row>
    <row r="23" spans="1:33" x14ac:dyDescent="0.2">
      <c r="A23" s="12">
        <v>3773</v>
      </c>
      <c r="B23" s="13" t="s">
        <v>33</v>
      </c>
      <c r="C23" s="13">
        <v>43301</v>
      </c>
      <c r="D23" s="5">
        <v>130</v>
      </c>
      <c r="E23" s="6" t="s">
        <v>79</v>
      </c>
      <c r="F23" s="5" t="s">
        <v>129</v>
      </c>
      <c r="G23" s="6" t="s">
        <v>128</v>
      </c>
      <c r="H23" s="5" t="str">
        <f>"000020"</f>
        <v>000020</v>
      </c>
      <c r="I23" s="4">
        <v>42766</v>
      </c>
      <c r="J23" s="5" t="str">
        <f>"000065"</f>
        <v>000065</v>
      </c>
      <c r="K23" s="4">
        <v>43105</v>
      </c>
      <c r="L23" s="5" t="str">
        <f>"000065"</f>
        <v>000065</v>
      </c>
      <c r="M23" s="4">
        <v>43105</v>
      </c>
      <c r="N23" s="5">
        <v>16</v>
      </c>
      <c r="O23" s="5" t="str">
        <f>"004571"</f>
        <v>004571</v>
      </c>
      <c r="P23" s="4">
        <v>43313</v>
      </c>
      <c r="Q23" s="7">
        <v>1.5016</v>
      </c>
      <c r="R23" s="7">
        <v>0.10161000000000001</v>
      </c>
      <c r="S23" s="7">
        <v>1.3999900000000001</v>
      </c>
      <c r="T23" s="5">
        <v>134</v>
      </c>
      <c r="U23" s="4">
        <v>43301</v>
      </c>
      <c r="V23" s="5">
        <v>9845695444</v>
      </c>
      <c r="W23" s="6" t="s">
        <v>127</v>
      </c>
      <c r="X23" s="5" t="s">
        <v>34</v>
      </c>
      <c r="Y23" s="6" t="s">
        <v>35</v>
      </c>
      <c r="Z23" s="5" t="s">
        <v>70</v>
      </c>
      <c r="AA23" s="6" t="s">
        <v>69</v>
      </c>
      <c r="AB23" s="7">
        <v>1.5016E-2</v>
      </c>
      <c r="AD23" s="8"/>
      <c r="AF23" s="8"/>
      <c r="AG23" s="8"/>
    </row>
    <row r="24" spans="1:33" x14ac:dyDescent="0.2">
      <c r="A24" s="12">
        <v>3774</v>
      </c>
      <c r="B24" s="13" t="s">
        <v>33</v>
      </c>
      <c r="C24" s="13">
        <v>43301</v>
      </c>
      <c r="D24" s="5">
        <v>130</v>
      </c>
      <c r="E24" s="6" t="s">
        <v>79</v>
      </c>
      <c r="F24" s="5" t="s">
        <v>140</v>
      </c>
      <c r="G24" s="6" t="s">
        <v>139</v>
      </c>
      <c r="H24" s="5" t="str">
        <f>"000018"</f>
        <v>000018</v>
      </c>
      <c r="I24" s="4">
        <v>42766</v>
      </c>
      <c r="J24" s="5" t="str">
        <f>"000118"</f>
        <v>000118</v>
      </c>
      <c r="K24" s="4">
        <v>43178</v>
      </c>
      <c r="L24" s="5" t="str">
        <f>"000118"</f>
        <v>000118</v>
      </c>
      <c r="M24" s="4">
        <v>43178</v>
      </c>
      <c r="N24" s="5">
        <v>16</v>
      </c>
      <c r="O24" s="5" t="str">
        <f>"004018"</f>
        <v>004018</v>
      </c>
      <c r="P24" s="4">
        <v>43300</v>
      </c>
      <c r="Q24" s="7">
        <v>1.5221800000000001</v>
      </c>
      <c r="R24" s="7">
        <v>0.10785</v>
      </c>
      <c r="S24" s="7">
        <v>1.4143300000000001</v>
      </c>
      <c r="T24" s="5">
        <v>134</v>
      </c>
      <c r="U24" s="4">
        <v>43301</v>
      </c>
      <c r="V24" s="5">
        <v>9845695444</v>
      </c>
      <c r="W24" s="6" t="s">
        <v>138</v>
      </c>
      <c r="X24" s="5" t="s">
        <v>34</v>
      </c>
      <c r="Y24" s="6" t="s">
        <v>35</v>
      </c>
      <c r="Z24" s="5" t="s">
        <v>70</v>
      </c>
      <c r="AA24" s="6" t="s">
        <v>69</v>
      </c>
      <c r="AB24" s="7">
        <v>1.5221800000000001E-2</v>
      </c>
      <c r="AD24" s="8"/>
      <c r="AF24" s="8"/>
      <c r="AG24" s="8"/>
    </row>
    <row r="25" spans="1:33" x14ac:dyDescent="0.2">
      <c r="A25" s="12">
        <v>3859</v>
      </c>
      <c r="B25" s="13" t="s">
        <v>33</v>
      </c>
      <c r="C25" s="13">
        <v>43304</v>
      </c>
      <c r="D25" s="5">
        <v>130</v>
      </c>
      <c r="E25" s="6" t="s">
        <v>79</v>
      </c>
      <c r="F25" s="5" t="s">
        <v>137</v>
      </c>
      <c r="G25" s="6" t="s">
        <v>136</v>
      </c>
      <c r="H25" s="5" t="str">
        <f>"000055"</f>
        <v>000055</v>
      </c>
      <c r="I25" s="4">
        <v>43044</v>
      </c>
      <c r="J25" s="5" t="str">
        <f>"000160"</f>
        <v>000160</v>
      </c>
      <c r="K25" s="4">
        <v>43287</v>
      </c>
      <c r="L25" s="5" t="str">
        <f>"000241"</f>
        <v>000241</v>
      </c>
      <c r="M25" s="4">
        <v>43291</v>
      </c>
      <c r="N25" s="5">
        <v>17</v>
      </c>
      <c r="O25" s="5" t="str">
        <f>"004186"</f>
        <v>004186</v>
      </c>
      <c r="P25" s="4">
        <v>43302</v>
      </c>
      <c r="Q25" s="7">
        <v>3.5472000000000001</v>
      </c>
      <c r="R25" s="7">
        <v>0.10996</v>
      </c>
      <c r="S25" s="7">
        <v>3.4372400000000001</v>
      </c>
      <c r="T25" s="5">
        <v>137</v>
      </c>
      <c r="U25" s="4">
        <v>43304</v>
      </c>
      <c r="V25" s="5">
        <v>9845235505</v>
      </c>
      <c r="W25" s="6" t="s">
        <v>135</v>
      </c>
      <c r="X25" s="5" t="s">
        <v>38</v>
      </c>
      <c r="Y25" s="6" t="s">
        <v>39</v>
      </c>
      <c r="Z25" s="5" t="s">
        <v>73</v>
      </c>
      <c r="AA25" s="6" t="s">
        <v>72</v>
      </c>
      <c r="AB25" s="7">
        <v>3.5472000000000004E-2</v>
      </c>
      <c r="AD25" s="8"/>
      <c r="AF25" s="8"/>
      <c r="AG25" s="8"/>
    </row>
    <row r="26" spans="1:33" x14ac:dyDescent="0.2">
      <c r="A26" s="12">
        <v>4306</v>
      </c>
      <c r="B26" s="13" t="s">
        <v>30</v>
      </c>
      <c r="C26" s="13">
        <v>43315</v>
      </c>
      <c r="D26" s="5">
        <v>130</v>
      </c>
      <c r="E26" s="6" t="s">
        <v>79</v>
      </c>
      <c r="F26" s="5" t="s">
        <v>134</v>
      </c>
      <c r="G26" s="6" t="s">
        <v>133</v>
      </c>
      <c r="H26" s="5" t="str">
        <f>"000200"</f>
        <v>000200</v>
      </c>
      <c r="I26" s="4">
        <v>42731</v>
      </c>
      <c r="J26" s="5" t="str">
        <f>"000231"</f>
        <v>000231</v>
      </c>
      <c r="K26" s="4">
        <v>42763</v>
      </c>
      <c r="L26" s="5" t="str">
        <f>"000434"</f>
        <v>000434</v>
      </c>
      <c r="M26" s="4">
        <v>42765</v>
      </c>
      <c r="N26" s="5">
        <v>16</v>
      </c>
      <c r="O26" s="5" t="str">
        <f>"004259"</f>
        <v>004259</v>
      </c>
      <c r="P26" s="4">
        <v>43306</v>
      </c>
      <c r="Q26" s="7">
        <v>49.577759999999998</v>
      </c>
      <c r="R26" s="7">
        <v>6.4442599999999999</v>
      </c>
      <c r="S26" s="7">
        <v>43.133499999999998</v>
      </c>
      <c r="T26" s="5">
        <v>152</v>
      </c>
      <c r="U26" s="4">
        <v>43315</v>
      </c>
      <c r="V26" s="5">
        <v>9845235505</v>
      </c>
      <c r="W26" s="6" t="s">
        <v>45</v>
      </c>
      <c r="X26" s="5" t="s">
        <v>58</v>
      </c>
      <c r="Y26" s="6" t="s">
        <v>57</v>
      </c>
      <c r="Z26" s="5" t="s">
        <v>73</v>
      </c>
      <c r="AA26" s="6" t="s">
        <v>72</v>
      </c>
      <c r="AB26" s="7">
        <v>0.49577759999999998</v>
      </c>
      <c r="AD26" s="8"/>
      <c r="AF26" s="8"/>
      <c r="AG26" s="8"/>
    </row>
    <row r="27" spans="1:33" x14ac:dyDescent="0.2">
      <c r="A27" s="12">
        <v>4307</v>
      </c>
      <c r="B27" s="13" t="s">
        <v>30</v>
      </c>
      <c r="C27" s="13">
        <v>43315</v>
      </c>
      <c r="D27" s="5">
        <v>130</v>
      </c>
      <c r="E27" s="6" t="s">
        <v>79</v>
      </c>
      <c r="F27" s="5" t="s">
        <v>132</v>
      </c>
      <c r="G27" s="6" t="s">
        <v>131</v>
      </c>
      <c r="H27" s="5" t="str">
        <f>""</f>
        <v/>
      </c>
      <c r="I27" s="4">
        <v>198</v>
      </c>
      <c r="J27" s="5" t="str">
        <f>"000246"</f>
        <v>000246</v>
      </c>
      <c r="K27" s="4">
        <v>42766</v>
      </c>
      <c r="L27" s="5" t="str">
        <f>"000447"</f>
        <v>000447</v>
      </c>
      <c r="M27" s="4">
        <v>42779</v>
      </c>
      <c r="N27" s="5">
        <v>13</v>
      </c>
      <c r="O27" s="5" t="str">
        <f>"004556"</f>
        <v>004556</v>
      </c>
      <c r="P27" s="4">
        <v>43309</v>
      </c>
      <c r="Q27" s="7">
        <v>6.7233499999999999</v>
      </c>
      <c r="R27" s="7">
        <v>0.78427999999999998</v>
      </c>
      <c r="S27" s="7">
        <v>5.9390700000000001</v>
      </c>
      <c r="T27" s="5">
        <v>152</v>
      </c>
      <c r="U27" s="4">
        <v>43315</v>
      </c>
      <c r="V27" s="5">
        <v>9483501967</v>
      </c>
      <c r="W27" s="6" t="s">
        <v>130</v>
      </c>
      <c r="X27" s="5" t="s">
        <v>50</v>
      </c>
      <c r="Y27" s="6" t="s">
        <v>49</v>
      </c>
      <c r="Z27" s="5" t="s">
        <v>73</v>
      </c>
      <c r="AA27" s="6" t="s">
        <v>72</v>
      </c>
      <c r="AB27" s="7">
        <v>6.7233500000000002E-2</v>
      </c>
      <c r="AD27" s="8"/>
      <c r="AF27" s="8"/>
      <c r="AG27" s="8"/>
    </row>
    <row r="28" spans="1:33" x14ac:dyDescent="0.2">
      <c r="A28" s="12">
        <v>4541</v>
      </c>
      <c r="B28" s="13" t="s">
        <v>30</v>
      </c>
      <c r="C28" s="13">
        <v>43318</v>
      </c>
      <c r="D28" s="5">
        <v>130</v>
      </c>
      <c r="E28" s="6" t="s">
        <v>79</v>
      </c>
      <c r="F28" s="5" t="s">
        <v>129</v>
      </c>
      <c r="G28" s="6" t="s">
        <v>128</v>
      </c>
      <c r="H28" s="5" t="str">
        <f>"000020"</f>
        <v>000020</v>
      </c>
      <c r="I28" s="4">
        <v>42766</v>
      </c>
      <c r="J28" s="5" t="str">
        <f>"000065"</f>
        <v>000065</v>
      </c>
      <c r="K28" s="4">
        <v>43105</v>
      </c>
      <c r="L28" s="5" t="str">
        <f>"000065"</f>
        <v>000065</v>
      </c>
      <c r="M28" s="4">
        <v>43105</v>
      </c>
      <c r="N28" s="5">
        <v>16</v>
      </c>
      <c r="O28" s="5" t="str">
        <f>"004571"</f>
        <v>004571</v>
      </c>
      <c r="P28" s="4">
        <v>43313</v>
      </c>
      <c r="Q28" s="7">
        <v>3.7539899999999999</v>
      </c>
      <c r="R28" s="7">
        <v>0.25398999999999999</v>
      </c>
      <c r="S28" s="7">
        <v>3.5</v>
      </c>
      <c r="T28" s="5">
        <v>157</v>
      </c>
      <c r="U28" s="4">
        <v>43318</v>
      </c>
      <c r="V28" s="5">
        <v>9845695444</v>
      </c>
      <c r="W28" s="6" t="s">
        <v>127</v>
      </c>
      <c r="X28" s="5" t="s">
        <v>34</v>
      </c>
      <c r="Y28" s="6" t="s">
        <v>35</v>
      </c>
      <c r="Z28" s="5" t="s">
        <v>70</v>
      </c>
      <c r="AA28" s="6" t="s">
        <v>69</v>
      </c>
      <c r="AB28" s="7">
        <v>3.7539900000000001E-2</v>
      </c>
      <c r="AD28" s="8"/>
      <c r="AF28" s="8"/>
      <c r="AG28" s="8"/>
    </row>
    <row r="29" spans="1:33" x14ac:dyDescent="0.2">
      <c r="A29" s="12">
        <v>4542</v>
      </c>
      <c r="B29" s="13" t="s">
        <v>30</v>
      </c>
      <c r="C29" s="13">
        <v>43318</v>
      </c>
      <c r="D29" s="5">
        <v>130</v>
      </c>
      <c r="E29" s="6" t="s">
        <v>79</v>
      </c>
      <c r="F29" s="5" t="s">
        <v>126</v>
      </c>
      <c r="G29" s="6" t="s">
        <v>125</v>
      </c>
      <c r="H29" s="5" t="str">
        <f>"000019"</f>
        <v>000019</v>
      </c>
      <c r="I29" s="4">
        <v>42766</v>
      </c>
      <c r="J29" s="5" t="str">
        <f>"000053"</f>
        <v>000053</v>
      </c>
      <c r="K29" s="4">
        <v>43089</v>
      </c>
      <c r="L29" s="5" t="str">
        <f>"000053"</f>
        <v>000053</v>
      </c>
      <c r="M29" s="4">
        <v>43089</v>
      </c>
      <c r="N29" s="5">
        <v>16</v>
      </c>
      <c r="O29" s="5" t="str">
        <f>"004594"</f>
        <v>004594</v>
      </c>
      <c r="P29" s="4">
        <v>43313</v>
      </c>
      <c r="Q29" s="7">
        <v>4.2398199999999999</v>
      </c>
      <c r="R29" s="7">
        <v>0.37342999999999998</v>
      </c>
      <c r="S29" s="7">
        <v>3.86639</v>
      </c>
      <c r="T29" s="5">
        <v>157</v>
      </c>
      <c r="U29" s="4">
        <v>43318</v>
      </c>
      <c r="V29" s="5">
        <v>9620096296</v>
      </c>
      <c r="W29" s="6" t="s">
        <v>71</v>
      </c>
      <c r="X29" s="5" t="s">
        <v>34</v>
      </c>
      <c r="Y29" s="6" t="s">
        <v>35</v>
      </c>
      <c r="Z29" s="5" t="s">
        <v>70</v>
      </c>
      <c r="AA29" s="6" t="s">
        <v>69</v>
      </c>
      <c r="AB29" s="7">
        <v>4.2398199999999997E-2</v>
      </c>
      <c r="AD29" s="8"/>
      <c r="AF29" s="8"/>
      <c r="AG29" s="8"/>
    </row>
    <row r="30" spans="1:33" x14ac:dyDescent="0.2">
      <c r="A30" s="12">
        <v>4982</v>
      </c>
      <c r="B30" s="13" t="s">
        <v>30</v>
      </c>
      <c r="C30" s="13">
        <v>43330</v>
      </c>
      <c r="D30" s="5">
        <v>130</v>
      </c>
      <c r="E30" s="6" t="s">
        <v>79</v>
      </c>
      <c r="F30" s="5" t="s">
        <v>124</v>
      </c>
      <c r="G30" s="6" t="s">
        <v>123</v>
      </c>
      <c r="H30" s="5" t="str">
        <f>"000329"</f>
        <v>000329</v>
      </c>
      <c r="I30" s="4">
        <v>42821</v>
      </c>
      <c r="J30" s="5" t="str">
        <f>"000304"</f>
        <v>000304</v>
      </c>
      <c r="K30" s="4">
        <v>42825</v>
      </c>
      <c r="L30" s="5" t="str">
        <f>"000532"</f>
        <v>000532</v>
      </c>
      <c r="M30" s="4">
        <v>42825</v>
      </c>
      <c r="N30" s="5">
        <v>15</v>
      </c>
      <c r="O30" s="5" t="str">
        <f>"005189"</f>
        <v>005189</v>
      </c>
      <c r="P30" s="4">
        <v>43326</v>
      </c>
      <c r="Q30" s="7">
        <v>48.643360000000001</v>
      </c>
      <c r="R30" s="7">
        <v>6.3479400000000004</v>
      </c>
      <c r="S30" s="7">
        <v>42.29542</v>
      </c>
      <c r="T30" s="5">
        <v>174</v>
      </c>
      <c r="U30" s="4">
        <v>43330</v>
      </c>
      <c r="V30" s="5">
        <v>9886073963</v>
      </c>
      <c r="W30" s="6" t="s">
        <v>122</v>
      </c>
      <c r="X30" s="5" t="s">
        <v>31</v>
      </c>
      <c r="Y30" s="6" t="s">
        <v>32</v>
      </c>
      <c r="Z30" s="5" t="s">
        <v>73</v>
      </c>
      <c r="AA30" s="6" t="s">
        <v>72</v>
      </c>
      <c r="AB30" s="7">
        <v>0.48643360000000002</v>
      </c>
      <c r="AD30" s="8"/>
      <c r="AF30" s="8"/>
      <c r="AG30" s="8"/>
    </row>
    <row r="31" spans="1:33" x14ac:dyDescent="0.2">
      <c r="A31" s="12">
        <v>5050</v>
      </c>
      <c r="B31" s="13" t="s">
        <v>30</v>
      </c>
      <c r="C31" s="13">
        <v>43335</v>
      </c>
      <c r="D31" s="5">
        <v>130</v>
      </c>
      <c r="E31" s="6" t="s">
        <v>79</v>
      </c>
      <c r="F31" s="5" t="s">
        <v>121</v>
      </c>
      <c r="G31" s="6" t="s">
        <v>120</v>
      </c>
      <c r="H31" s="5" t="str">
        <f>"000126"</f>
        <v>000126</v>
      </c>
      <c r="I31" s="4">
        <v>43080</v>
      </c>
      <c r="J31" s="5" t="str">
        <f>"000175"</f>
        <v>000175</v>
      </c>
      <c r="K31" s="4">
        <v>43301</v>
      </c>
      <c r="L31" s="5" t="str">
        <f>"000281"</f>
        <v>000281</v>
      </c>
      <c r="M31" s="4">
        <v>43306</v>
      </c>
      <c r="N31" s="5">
        <v>18</v>
      </c>
      <c r="O31" s="5" t="str">
        <f>"005264"</f>
        <v>005264</v>
      </c>
      <c r="P31" s="4">
        <v>43332</v>
      </c>
      <c r="Q31" s="7">
        <v>5.8396499999999998</v>
      </c>
      <c r="R31" s="7">
        <v>0.24052000000000001</v>
      </c>
      <c r="S31" s="7">
        <v>5.5991299999999997</v>
      </c>
      <c r="T31" s="5">
        <v>178</v>
      </c>
      <c r="U31" s="4">
        <v>43335</v>
      </c>
      <c r="V31" s="5">
        <v>8904904737</v>
      </c>
      <c r="W31" s="6" t="s">
        <v>96</v>
      </c>
      <c r="X31" s="5" t="s">
        <v>43</v>
      </c>
      <c r="Y31" s="6" t="s">
        <v>42</v>
      </c>
      <c r="Z31" s="5" t="s">
        <v>73</v>
      </c>
      <c r="AA31" s="6" t="s">
        <v>72</v>
      </c>
      <c r="AB31" s="7">
        <v>5.8396499999999997E-2</v>
      </c>
      <c r="AD31" s="8"/>
      <c r="AF31" s="8"/>
      <c r="AG31" s="8"/>
    </row>
    <row r="32" spans="1:33" x14ac:dyDescent="0.2">
      <c r="A32" s="12">
        <v>5051</v>
      </c>
      <c r="B32" s="13" t="s">
        <v>30</v>
      </c>
      <c r="C32" s="13">
        <v>43335</v>
      </c>
      <c r="D32" s="5">
        <v>130</v>
      </c>
      <c r="E32" s="6" t="s">
        <v>79</v>
      </c>
      <c r="F32" s="5" t="s">
        <v>119</v>
      </c>
      <c r="G32" s="6" t="s">
        <v>118</v>
      </c>
      <c r="H32" s="5" t="str">
        <f>"000127"</f>
        <v>000127</v>
      </c>
      <c r="I32" s="4">
        <v>43080</v>
      </c>
      <c r="J32" s="5" t="str">
        <f>"000176"</f>
        <v>000176</v>
      </c>
      <c r="K32" s="4">
        <v>43301</v>
      </c>
      <c r="L32" s="5" t="str">
        <f>"000282"</f>
        <v>000282</v>
      </c>
      <c r="M32" s="4">
        <v>43306</v>
      </c>
      <c r="N32" s="5">
        <v>18</v>
      </c>
      <c r="O32" s="5" t="str">
        <f>"005265"</f>
        <v>005265</v>
      </c>
      <c r="P32" s="4">
        <v>43332</v>
      </c>
      <c r="Q32" s="7">
        <v>4.5588800000000003</v>
      </c>
      <c r="R32" s="7">
        <v>0.41724</v>
      </c>
      <c r="S32" s="7">
        <v>4.1416399999999998</v>
      </c>
      <c r="T32" s="5">
        <v>178</v>
      </c>
      <c r="U32" s="4">
        <v>43335</v>
      </c>
      <c r="V32" s="5">
        <v>8904904737</v>
      </c>
      <c r="W32" s="6" t="s">
        <v>63</v>
      </c>
      <c r="X32" s="5" t="s">
        <v>43</v>
      </c>
      <c r="Y32" s="6" t="s">
        <v>42</v>
      </c>
      <c r="Z32" s="5" t="s">
        <v>73</v>
      </c>
      <c r="AA32" s="6" t="s">
        <v>72</v>
      </c>
      <c r="AB32" s="7">
        <v>4.5588800000000006E-2</v>
      </c>
      <c r="AD32" s="8"/>
      <c r="AF32" s="8"/>
      <c r="AG32" s="8"/>
    </row>
    <row r="33" spans="1:33" x14ac:dyDescent="0.2">
      <c r="A33" s="12">
        <v>5292</v>
      </c>
      <c r="B33" s="13" t="s">
        <v>37</v>
      </c>
      <c r="C33" s="13">
        <v>43346</v>
      </c>
      <c r="D33" s="5">
        <v>130</v>
      </c>
      <c r="E33" s="6" t="s">
        <v>79</v>
      </c>
      <c r="F33" s="5" t="s">
        <v>117</v>
      </c>
      <c r="G33" s="6" t="s">
        <v>116</v>
      </c>
      <c r="H33" s="5" t="str">
        <f>"000066"</f>
        <v>000066</v>
      </c>
      <c r="I33" s="4">
        <v>43174</v>
      </c>
      <c r="J33" s="5" t="str">
        <f>"000029"</f>
        <v>000029</v>
      </c>
      <c r="K33" s="4">
        <v>43321</v>
      </c>
      <c r="L33" s="5" t="str">
        <f>"000030"</f>
        <v>000030</v>
      </c>
      <c r="M33" s="4">
        <v>43321</v>
      </c>
      <c r="N33" s="5">
        <v>17</v>
      </c>
      <c r="O33" s="5" t="str">
        <f>"005578"</f>
        <v>005578</v>
      </c>
      <c r="P33" s="4">
        <v>43343</v>
      </c>
      <c r="Q33" s="7">
        <v>10.286390000000001</v>
      </c>
      <c r="R33" s="7">
        <v>0.23521</v>
      </c>
      <c r="S33" s="7">
        <v>10.05118</v>
      </c>
      <c r="T33" s="5">
        <v>186</v>
      </c>
      <c r="U33" s="4">
        <v>43346</v>
      </c>
      <c r="V33" s="5">
        <v>9845351993</v>
      </c>
      <c r="W33" s="6" t="s">
        <v>115</v>
      </c>
      <c r="X33" s="5" t="s">
        <v>38</v>
      </c>
      <c r="Y33" s="6" t="s">
        <v>39</v>
      </c>
      <c r="Z33" s="5" t="s">
        <v>70</v>
      </c>
      <c r="AA33" s="6" t="s">
        <v>69</v>
      </c>
      <c r="AB33" s="7">
        <f>Q33/100</f>
        <v>0.10286390000000001</v>
      </c>
      <c r="AD33" s="8"/>
      <c r="AF33" s="8"/>
      <c r="AG33" s="8"/>
    </row>
    <row r="34" spans="1:33" x14ac:dyDescent="0.2">
      <c r="A34" s="12">
        <v>5293</v>
      </c>
      <c r="B34" s="13" t="s">
        <v>37</v>
      </c>
      <c r="C34" s="13">
        <v>43346</v>
      </c>
      <c r="D34" s="5">
        <v>130</v>
      </c>
      <c r="E34" s="6" t="s">
        <v>79</v>
      </c>
      <c r="F34" s="5" t="s">
        <v>114</v>
      </c>
      <c r="G34" s="6" t="s">
        <v>113</v>
      </c>
      <c r="H34" s="5" t="str">
        <f>"000203"</f>
        <v>000203</v>
      </c>
      <c r="I34" s="4">
        <v>42758</v>
      </c>
      <c r="J34" s="5" t="str">
        <f>"000305"</f>
        <v>000305</v>
      </c>
      <c r="K34" s="4">
        <v>42825</v>
      </c>
      <c r="L34" s="5" t="str">
        <f>"000533"</f>
        <v>000533</v>
      </c>
      <c r="M34" s="4">
        <v>42825</v>
      </c>
      <c r="N34" s="5">
        <v>15</v>
      </c>
      <c r="O34" s="5" t="str">
        <f>"005367"</f>
        <v>005367</v>
      </c>
      <c r="P34" s="4">
        <v>43335</v>
      </c>
      <c r="Q34" s="7">
        <v>48.38843</v>
      </c>
      <c r="R34" s="7">
        <v>6.3146599999999999</v>
      </c>
      <c r="S34" s="7">
        <v>42.073770000000003</v>
      </c>
      <c r="T34" s="5">
        <v>193</v>
      </c>
      <c r="U34" s="4">
        <v>43346</v>
      </c>
      <c r="V34" s="5">
        <v>9886073963</v>
      </c>
      <c r="W34" s="6" t="s">
        <v>112</v>
      </c>
      <c r="X34" s="5" t="s">
        <v>31</v>
      </c>
      <c r="Y34" s="6" t="s">
        <v>32</v>
      </c>
      <c r="Z34" s="5" t="s">
        <v>73</v>
      </c>
      <c r="AA34" s="6" t="s">
        <v>72</v>
      </c>
      <c r="AB34" s="7">
        <f>Q34/100</f>
        <v>0.48388429999999999</v>
      </c>
      <c r="AD34" s="8"/>
      <c r="AF34" s="8"/>
      <c r="AG34" s="8"/>
    </row>
    <row r="35" spans="1:33" x14ac:dyDescent="0.2">
      <c r="A35" s="12">
        <v>5294</v>
      </c>
      <c r="B35" s="13" t="s">
        <v>37</v>
      </c>
      <c r="C35" s="13">
        <v>43346</v>
      </c>
      <c r="D35" s="5">
        <v>130</v>
      </c>
      <c r="E35" s="6" t="s">
        <v>79</v>
      </c>
      <c r="F35" s="5" t="s">
        <v>111</v>
      </c>
      <c r="G35" s="6" t="s">
        <v>110</v>
      </c>
      <c r="H35" s="5" t="str">
        <f>""</f>
        <v/>
      </c>
      <c r="I35" s="4">
        <v>199</v>
      </c>
      <c r="J35" s="5" t="str">
        <f>""</f>
        <v/>
      </c>
      <c r="K35" s="4">
        <v>319</v>
      </c>
      <c r="L35" s="5" t="str">
        <f>"000547"</f>
        <v>000547</v>
      </c>
      <c r="M35" s="4">
        <v>42825</v>
      </c>
      <c r="N35" s="5">
        <v>16</v>
      </c>
      <c r="O35" s="5" t="str">
        <f>"005478"</f>
        <v>005478</v>
      </c>
      <c r="P35" s="4">
        <v>43340</v>
      </c>
      <c r="Q35" s="7">
        <v>49.642850000000003</v>
      </c>
      <c r="R35" s="7">
        <v>6.4689399999999999</v>
      </c>
      <c r="S35" s="7">
        <v>43.173909999999999</v>
      </c>
      <c r="T35" s="5">
        <v>193</v>
      </c>
      <c r="U35" s="4">
        <v>43346</v>
      </c>
      <c r="V35" s="5">
        <v>9845235505</v>
      </c>
      <c r="W35" s="6" t="s">
        <v>63</v>
      </c>
      <c r="X35" s="5" t="s">
        <v>58</v>
      </c>
      <c r="Y35" s="6" t="s">
        <v>57</v>
      </c>
      <c r="Z35" s="5" t="s">
        <v>73</v>
      </c>
      <c r="AA35" s="6" t="s">
        <v>72</v>
      </c>
      <c r="AB35" s="7">
        <f>Q35/100</f>
        <v>0.49642850000000005</v>
      </c>
      <c r="AD35" s="8"/>
      <c r="AF35" s="8"/>
      <c r="AG35" s="8"/>
    </row>
    <row r="36" spans="1:33" x14ac:dyDescent="0.2">
      <c r="A36" s="12">
        <v>5426</v>
      </c>
      <c r="B36" s="13" t="s">
        <v>37</v>
      </c>
      <c r="C36" s="13">
        <v>43355</v>
      </c>
      <c r="D36" s="5">
        <v>130</v>
      </c>
      <c r="E36" s="6" t="s">
        <v>79</v>
      </c>
      <c r="F36" s="5" t="s">
        <v>109</v>
      </c>
      <c r="G36" s="6" t="s">
        <v>108</v>
      </c>
      <c r="H36" s="5" t="str">
        <f>"000072"</f>
        <v>000072</v>
      </c>
      <c r="I36" s="4">
        <v>42857</v>
      </c>
      <c r="J36" s="5" t="str">
        <f>"333357"</f>
        <v>333357</v>
      </c>
      <c r="K36" s="4">
        <v>43076</v>
      </c>
      <c r="L36" s="5" t="str">
        <f>"000254"</f>
        <v>000254</v>
      </c>
      <c r="M36" s="4">
        <v>43081</v>
      </c>
      <c r="N36" s="5">
        <v>17</v>
      </c>
      <c r="O36" s="5" t="str">
        <f>"005570"</f>
        <v>005570</v>
      </c>
      <c r="P36" s="4">
        <v>43343</v>
      </c>
      <c r="Q36" s="7">
        <v>26.769410000000001</v>
      </c>
      <c r="R36" s="7">
        <v>2.43364</v>
      </c>
      <c r="S36" s="7">
        <v>24.33577</v>
      </c>
      <c r="T36" s="5">
        <v>200</v>
      </c>
      <c r="U36" s="4">
        <v>43355</v>
      </c>
      <c r="V36" s="5">
        <v>9845235505</v>
      </c>
      <c r="W36" s="6" t="s">
        <v>96</v>
      </c>
      <c r="X36" s="5" t="s">
        <v>60</v>
      </c>
      <c r="Y36" s="6" t="s">
        <v>59</v>
      </c>
      <c r="Z36" s="5" t="s">
        <v>73</v>
      </c>
      <c r="AA36" s="6" t="s">
        <v>72</v>
      </c>
      <c r="AB36" s="7">
        <f>Q36/100</f>
        <v>0.26769409999999999</v>
      </c>
      <c r="AD36" s="8"/>
      <c r="AF36" s="8"/>
      <c r="AG36" s="8"/>
    </row>
    <row r="37" spans="1:33" x14ac:dyDescent="0.2">
      <c r="A37" s="12">
        <v>5481</v>
      </c>
      <c r="B37" s="13" t="s">
        <v>37</v>
      </c>
      <c r="C37" s="13">
        <v>43357</v>
      </c>
      <c r="D37" s="5">
        <v>130</v>
      </c>
      <c r="E37" s="6" t="s">
        <v>79</v>
      </c>
      <c r="F37" s="5" t="s">
        <v>107</v>
      </c>
      <c r="G37" s="6" t="s">
        <v>106</v>
      </c>
      <c r="H37" s="5" t="str">
        <f>"000079"</f>
        <v>000079</v>
      </c>
      <c r="I37" s="4">
        <v>42857</v>
      </c>
      <c r="J37" s="5" t="str">
        <f>"333355"</f>
        <v>333355</v>
      </c>
      <c r="K37" s="4">
        <v>43066</v>
      </c>
      <c r="L37" s="5" t="str">
        <f>"000246"</f>
        <v>000246</v>
      </c>
      <c r="M37" s="4">
        <v>43074</v>
      </c>
      <c r="N37" s="5">
        <v>17</v>
      </c>
      <c r="O37" s="5" t="str">
        <f>"005709"</f>
        <v>005709</v>
      </c>
      <c r="P37" s="4">
        <v>43350</v>
      </c>
      <c r="Q37" s="7">
        <v>95.649950000000004</v>
      </c>
      <c r="R37" s="7">
        <v>8.23611</v>
      </c>
      <c r="S37" s="7">
        <v>87.413839999999993</v>
      </c>
      <c r="T37" s="5">
        <v>204</v>
      </c>
      <c r="U37" s="4">
        <v>43357</v>
      </c>
      <c r="V37" s="5">
        <v>9845235505</v>
      </c>
      <c r="W37" s="6" t="s">
        <v>63</v>
      </c>
      <c r="X37" s="5" t="s">
        <v>60</v>
      </c>
      <c r="Y37" s="6" t="s">
        <v>59</v>
      </c>
      <c r="Z37" s="5" t="s">
        <v>73</v>
      </c>
      <c r="AA37" s="6" t="s">
        <v>72</v>
      </c>
      <c r="AB37" s="7">
        <f>Q37/100</f>
        <v>0.95649950000000006</v>
      </c>
      <c r="AD37" s="8"/>
      <c r="AF37" s="8"/>
      <c r="AG37" s="8"/>
    </row>
    <row r="38" spans="1:33" x14ac:dyDescent="0.2">
      <c r="A38" s="12">
        <v>5482</v>
      </c>
      <c r="B38" s="13" t="s">
        <v>37</v>
      </c>
      <c r="C38" s="13">
        <v>43357</v>
      </c>
      <c r="D38" s="5">
        <v>130</v>
      </c>
      <c r="E38" s="6" t="s">
        <v>79</v>
      </c>
      <c r="F38" s="5" t="s">
        <v>105</v>
      </c>
      <c r="G38" s="6" t="s">
        <v>104</v>
      </c>
      <c r="H38" s="5" t="str">
        <f>"000176"</f>
        <v>000176</v>
      </c>
      <c r="I38" s="4">
        <v>42709</v>
      </c>
      <c r="J38" s="5" t="str">
        <f>"000009"</f>
        <v>000009</v>
      </c>
      <c r="K38" s="4">
        <v>42843</v>
      </c>
      <c r="L38" s="5" t="str">
        <f>"000003"</f>
        <v>000003</v>
      </c>
      <c r="M38" s="4">
        <v>42845</v>
      </c>
      <c r="N38" s="5">
        <v>15</v>
      </c>
      <c r="O38" s="5" t="str">
        <f>"005714"</f>
        <v>005714</v>
      </c>
      <c r="P38" s="4">
        <v>43350</v>
      </c>
      <c r="Q38" s="7">
        <v>4.4730100000000004</v>
      </c>
      <c r="R38" s="7">
        <v>0.31991999999999998</v>
      </c>
      <c r="S38" s="7">
        <v>4.1530899999999997</v>
      </c>
      <c r="T38" s="5">
        <v>204</v>
      </c>
      <c r="U38" s="4">
        <v>43357</v>
      </c>
      <c r="V38" s="5">
        <v>9483501967</v>
      </c>
      <c r="W38" s="6" t="s">
        <v>103</v>
      </c>
      <c r="X38" s="5" t="s">
        <v>47</v>
      </c>
      <c r="Y38" s="6" t="s">
        <v>46</v>
      </c>
      <c r="Z38" s="5" t="s">
        <v>73</v>
      </c>
      <c r="AA38" s="6" t="s">
        <v>72</v>
      </c>
      <c r="AB38" s="7">
        <f>Q38/100</f>
        <v>4.4730100000000002E-2</v>
      </c>
      <c r="AD38" s="8"/>
      <c r="AF38" s="8"/>
      <c r="AG38" s="8"/>
    </row>
    <row r="39" spans="1:33" x14ac:dyDescent="0.2">
      <c r="A39" s="12">
        <v>5704</v>
      </c>
      <c r="B39" s="13" t="s">
        <v>37</v>
      </c>
      <c r="C39" s="13">
        <v>43370</v>
      </c>
      <c r="D39" s="5">
        <v>130</v>
      </c>
      <c r="E39" s="6" t="s">
        <v>79</v>
      </c>
      <c r="F39" s="5" t="s">
        <v>102</v>
      </c>
      <c r="G39" s="6" t="s">
        <v>101</v>
      </c>
      <c r="H39" s="5" t="str">
        <f>"000047"</f>
        <v>000047</v>
      </c>
      <c r="I39" s="4">
        <v>42845</v>
      </c>
      <c r="J39" s="5" t="str">
        <f>"000099"</f>
        <v>000099</v>
      </c>
      <c r="K39" s="4">
        <v>43005</v>
      </c>
      <c r="L39" s="5" t="str">
        <f>"000272"</f>
        <v>000272</v>
      </c>
      <c r="M39" s="4">
        <v>43090</v>
      </c>
      <c r="N39" s="5">
        <v>17</v>
      </c>
      <c r="O39" s="5" t="str">
        <f>"005936"</f>
        <v>005936</v>
      </c>
      <c r="P39" s="4">
        <v>43368</v>
      </c>
      <c r="Q39" s="7">
        <v>4.9693899999999998</v>
      </c>
      <c r="R39" s="7">
        <v>0.60157000000000005</v>
      </c>
      <c r="S39" s="7">
        <v>4.36782</v>
      </c>
      <c r="T39" s="5">
        <v>218</v>
      </c>
      <c r="U39" s="4">
        <v>43370</v>
      </c>
      <c r="V39" s="5">
        <v>9845235505</v>
      </c>
      <c r="W39" s="6" t="s">
        <v>96</v>
      </c>
      <c r="X39" s="5" t="s">
        <v>47</v>
      </c>
      <c r="Y39" s="6" t="s">
        <v>46</v>
      </c>
      <c r="Z39" s="5" t="s">
        <v>73</v>
      </c>
      <c r="AA39" s="6" t="s">
        <v>72</v>
      </c>
      <c r="AB39" s="7">
        <f>Q39/100</f>
        <v>4.9693899999999999E-2</v>
      </c>
      <c r="AD39" s="8"/>
      <c r="AF39" s="8"/>
      <c r="AG39" s="8"/>
    </row>
    <row r="40" spans="1:33" x14ac:dyDescent="0.2">
      <c r="A40" s="12">
        <v>5705</v>
      </c>
      <c r="B40" s="13" t="s">
        <v>37</v>
      </c>
      <c r="C40" s="13">
        <v>43370</v>
      </c>
      <c r="D40" s="5">
        <v>130</v>
      </c>
      <c r="E40" s="6" t="s">
        <v>79</v>
      </c>
      <c r="F40" s="5" t="s">
        <v>100</v>
      </c>
      <c r="G40" s="6" t="s">
        <v>99</v>
      </c>
      <c r="H40" s="5" t="str">
        <f>"000046"</f>
        <v>000046</v>
      </c>
      <c r="I40" s="4">
        <v>42845</v>
      </c>
      <c r="J40" s="5" t="str">
        <f>"000092"</f>
        <v>000092</v>
      </c>
      <c r="K40" s="4">
        <v>43005</v>
      </c>
      <c r="L40" s="5" t="str">
        <f>"000275"</f>
        <v>000275</v>
      </c>
      <c r="M40" s="4">
        <v>43090</v>
      </c>
      <c r="N40" s="5">
        <v>17</v>
      </c>
      <c r="O40" s="5" t="str">
        <f>"005937"</f>
        <v>005937</v>
      </c>
      <c r="P40" s="4">
        <v>43368</v>
      </c>
      <c r="Q40" s="7">
        <v>9.8842499999999998</v>
      </c>
      <c r="R40" s="7">
        <v>1.19564</v>
      </c>
      <c r="S40" s="7">
        <v>8.6886100000000006</v>
      </c>
      <c r="T40" s="5">
        <v>218</v>
      </c>
      <c r="U40" s="4">
        <v>43370</v>
      </c>
      <c r="V40" s="5">
        <v>9845235505</v>
      </c>
      <c r="W40" s="6" t="s">
        <v>96</v>
      </c>
      <c r="X40" s="5" t="s">
        <v>47</v>
      </c>
      <c r="Y40" s="6" t="s">
        <v>46</v>
      </c>
      <c r="Z40" s="5" t="s">
        <v>73</v>
      </c>
      <c r="AA40" s="6" t="s">
        <v>72</v>
      </c>
      <c r="AB40" s="7">
        <f>Q40/100</f>
        <v>9.88425E-2</v>
      </c>
      <c r="AD40" s="8"/>
      <c r="AF40" s="8"/>
      <c r="AG40" s="8"/>
    </row>
    <row r="41" spans="1:33" x14ac:dyDescent="0.2">
      <c r="A41" s="12">
        <v>5706</v>
      </c>
      <c r="B41" s="13" t="s">
        <v>37</v>
      </c>
      <c r="C41" s="13">
        <v>43370</v>
      </c>
      <c r="D41" s="5">
        <v>130</v>
      </c>
      <c r="E41" s="6" t="s">
        <v>79</v>
      </c>
      <c r="F41" s="5" t="s">
        <v>98</v>
      </c>
      <c r="G41" s="6" t="s">
        <v>97</v>
      </c>
      <c r="H41" s="5" t="str">
        <f>"000061"</f>
        <v>000061</v>
      </c>
      <c r="I41" s="4">
        <v>43191</v>
      </c>
      <c r="J41" s="5" t="str">
        <f>"333364"</f>
        <v>333364</v>
      </c>
      <c r="K41" s="4">
        <v>43095</v>
      </c>
      <c r="L41" s="5" t="str">
        <f>"000315"</f>
        <v>000315</v>
      </c>
      <c r="M41" s="4">
        <v>43105</v>
      </c>
      <c r="N41" s="5">
        <v>17</v>
      </c>
      <c r="O41" s="5" t="str">
        <f>"005971"</f>
        <v>005971</v>
      </c>
      <c r="P41" s="4">
        <v>43368</v>
      </c>
      <c r="Q41" s="7">
        <v>9.9032800000000005</v>
      </c>
      <c r="R41" s="7">
        <v>0.70313000000000003</v>
      </c>
      <c r="S41" s="7">
        <v>9.2001500000000007</v>
      </c>
      <c r="T41" s="5">
        <v>218</v>
      </c>
      <c r="U41" s="4">
        <v>43370</v>
      </c>
      <c r="V41" s="5">
        <v>9845235505</v>
      </c>
      <c r="W41" s="6" t="s">
        <v>96</v>
      </c>
      <c r="X41" s="5" t="s">
        <v>31</v>
      </c>
      <c r="Y41" s="6" t="s">
        <v>32</v>
      </c>
      <c r="Z41" s="5" t="s">
        <v>73</v>
      </c>
      <c r="AA41" s="6" t="s">
        <v>72</v>
      </c>
      <c r="AB41" s="7">
        <f>Q41/100</f>
        <v>9.9032800000000004E-2</v>
      </c>
      <c r="AD41" s="8"/>
      <c r="AF41" s="8"/>
      <c r="AG41" s="8"/>
    </row>
    <row r="42" spans="1:33" x14ac:dyDescent="0.2">
      <c r="A42" s="12">
        <v>6195</v>
      </c>
      <c r="B42" s="13" t="s">
        <v>41</v>
      </c>
      <c r="C42" s="13">
        <v>43385</v>
      </c>
      <c r="D42" s="5">
        <v>130</v>
      </c>
      <c r="E42" s="6" t="s">
        <v>79</v>
      </c>
      <c r="F42" s="5" t="s">
        <v>95</v>
      </c>
      <c r="G42" s="6" t="s">
        <v>94</v>
      </c>
      <c r="H42" s="5" t="str">
        <f>"000164"</f>
        <v>000164</v>
      </c>
      <c r="I42" s="4">
        <v>43244</v>
      </c>
      <c r="J42" s="5" t="str">
        <f>"000167"</f>
        <v>000167</v>
      </c>
      <c r="K42" s="4">
        <v>43292</v>
      </c>
      <c r="L42" s="5" t="str">
        <f>"000251"</f>
        <v>000251</v>
      </c>
      <c r="M42" s="4">
        <v>43293</v>
      </c>
      <c r="N42" s="5">
        <v>18</v>
      </c>
      <c r="O42" s="5" t="str">
        <f>"006275"</f>
        <v>006275</v>
      </c>
      <c r="P42" s="4">
        <v>43380</v>
      </c>
      <c r="Q42" s="7">
        <v>98.217830000000006</v>
      </c>
      <c r="R42" s="7">
        <v>8.5496499999999997</v>
      </c>
      <c r="S42" s="7">
        <v>89.668180000000007</v>
      </c>
      <c r="T42" s="5">
        <v>228</v>
      </c>
      <c r="U42" s="4">
        <v>43385</v>
      </c>
      <c r="V42" s="5">
        <v>9845235505</v>
      </c>
      <c r="W42" s="6" t="s">
        <v>80</v>
      </c>
      <c r="X42" s="5" t="s">
        <v>28</v>
      </c>
      <c r="Y42" s="6" t="s">
        <v>29</v>
      </c>
      <c r="Z42" s="5" t="s">
        <v>73</v>
      </c>
      <c r="AA42" s="6" t="s">
        <v>72</v>
      </c>
      <c r="AB42" s="7">
        <f>Q42/100</f>
        <v>0.98217830000000006</v>
      </c>
      <c r="AD42" s="8"/>
      <c r="AF42" s="8"/>
      <c r="AG42" s="8"/>
    </row>
    <row r="43" spans="1:33" x14ac:dyDescent="0.2">
      <c r="A43" s="12">
        <v>6196</v>
      </c>
      <c r="B43" s="13" t="s">
        <v>41</v>
      </c>
      <c r="C43" s="13">
        <v>43385</v>
      </c>
      <c r="D43" s="5">
        <v>130</v>
      </c>
      <c r="E43" s="6" t="s">
        <v>79</v>
      </c>
      <c r="F43" s="5" t="s">
        <v>95</v>
      </c>
      <c r="G43" s="6" t="s">
        <v>94</v>
      </c>
      <c r="H43" s="5" t="str">
        <f>"000164"</f>
        <v>000164</v>
      </c>
      <c r="I43" s="4">
        <v>43244</v>
      </c>
      <c r="J43" s="5" t="str">
        <f>"000167"</f>
        <v>000167</v>
      </c>
      <c r="K43" s="4">
        <v>43292</v>
      </c>
      <c r="L43" s="5" t="str">
        <f>"000251"</f>
        <v>000251</v>
      </c>
      <c r="M43" s="4">
        <v>43293</v>
      </c>
      <c r="N43" s="5">
        <v>18</v>
      </c>
      <c r="O43" s="5" t="str">
        <f>"006275"</f>
        <v>006275</v>
      </c>
      <c r="P43" s="4">
        <v>43380</v>
      </c>
      <c r="Q43" s="7">
        <v>98.217830000000006</v>
      </c>
      <c r="R43" s="7">
        <v>8.5496499999999997</v>
      </c>
      <c r="S43" s="7">
        <v>89.668180000000007</v>
      </c>
      <c r="T43" s="5">
        <v>228</v>
      </c>
      <c r="U43" s="4">
        <v>43385</v>
      </c>
      <c r="V43" s="5">
        <v>9845235505</v>
      </c>
      <c r="W43" s="6" t="s">
        <v>80</v>
      </c>
      <c r="X43" s="5" t="s">
        <v>28</v>
      </c>
      <c r="Y43" s="6" t="s">
        <v>29</v>
      </c>
      <c r="Z43" s="5" t="s">
        <v>73</v>
      </c>
      <c r="AA43" s="6" t="s">
        <v>72</v>
      </c>
      <c r="AB43" s="7">
        <f>Q43/100</f>
        <v>0.98217830000000006</v>
      </c>
      <c r="AD43" s="8"/>
      <c r="AF43" s="8"/>
      <c r="AG43" s="8"/>
    </row>
    <row r="44" spans="1:33" x14ac:dyDescent="0.2">
      <c r="A44" s="12">
        <v>6588</v>
      </c>
      <c r="B44" s="13" t="s">
        <v>41</v>
      </c>
      <c r="C44" s="13">
        <v>43389</v>
      </c>
      <c r="D44" s="5">
        <v>130</v>
      </c>
      <c r="E44" s="6" t="s">
        <v>79</v>
      </c>
      <c r="F44" s="5" t="s">
        <v>93</v>
      </c>
      <c r="G44" s="6" t="s">
        <v>92</v>
      </c>
      <c r="H44" s="5" t="str">
        <f>"000079"</f>
        <v>000079</v>
      </c>
      <c r="I44" s="4">
        <v>43067</v>
      </c>
      <c r="J44" s="5" t="str">
        <f>"000183"</f>
        <v>000183</v>
      </c>
      <c r="K44" s="4">
        <v>43347</v>
      </c>
      <c r="L44" s="5" t="str">
        <f>"000307"</f>
        <v>000307</v>
      </c>
      <c r="M44" s="4">
        <v>43358</v>
      </c>
      <c r="N44" s="5">
        <v>18</v>
      </c>
      <c r="O44" s="5" t="str">
        <f>"006735"</f>
        <v>006735</v>
      </c>
      <c r="P44" s="4">
        <v>43388</v>
      </c>
      <c r="Q44" s="7">
        <v>2.2522199999999999</v>
      </c>
      <c r="R44" s="7">
        <v>0.26822000000000001</v>
      </c>
      <c r="S44" s="7">
        <v>1.984</v>
      </c>
      <c r="T44" s="5">
        <v>238</v>
      </c>
      <c r="U44" s="4">
        <v>43389</v>
      </c>
      <c r="V44" s="5">
        <v>8904904737</v>
      </c>
      <c r="W44" s="6" t="s">
        <v>63</v>
      </c>
      <c r="X44" s="5" t="s">
        <v>43</v>
      </c>
      <c r="Y44" s="6" t="s">
        <v>42</v>
      </c>
      <c r="Z44" s="5" t="s">
        <v>73</v>
      </c>
      <c r="AA44" s="6" t="s">
        <v>72</v>
      </c>
      <c r="AB44" s="7">
        <f>Q44/100</f>
        <v>2.2522199999999999E-2</v>
      </c>
      <c r="AD44" s="8"/>
      <c r="AF44" s="8"/>
      <c r="AG44" s="8"/>
    </row>
    <row r="45" spans="1:33" x14ac:dyDescent="0.2">
      <c r="A45" s="12">
        <v>6589</v>
      </c>
      <c r="B45" s="13" t="s">
        <v>41</v>
      </c>
      <c r="C45" s="13">
        <v>43389</v>
      </c>
      <c r="D45" s="5">
        <v>130</v>
      </c>
      <c r="E45" s="6" t="s">
        <v>79</v>
      </c>
      <c r="F45" s="5" t="s">
        <v>91</v>
      </c>
      <c r="G45" s="6" t="s">
        <v>90</v>
      </c>
      <c r="H45" s="5" t="str">
        <f>""</f>
        <v/>
      </c>
      <c r="I45" s="4">
        <v>166</v>
      </c>
      <c r="J45" s="5" t="str">
        <f>"333388"</f>
        <v>333388</v>
      </c>
      <c r="K45" s="4">
        <v>43104</v>
      </c>
      <c r="L45" s="5" t="str">
        <f>"000339"</f>
        <v>000339</v>
      </c>
      <c r="M45" s="4">
        <v>43118</v>
      </c>
      <c r="N45" s="5">
        <v>17</v>
      </c>
      <c r="O45" s="5" t="str">
        <f>"006525"</f>
        <v>006525</v>
      </c>
      <c r="P45" s="4">
        <v>43383</v>
      </c>
      <c r="Q45" s="7">
        <v>24.965540000000001</v>
      </c>
      <c r="R45" s="7">
        <v>3.2609599999999999</v>
      </c>
      <c r="S45" s="7">
        <v>21.70458</v>
      </c>
      <c r="T45" s="5">
        <v>241</v>
      </c>
      <c r="U45" s="4">
        <v>43389</v>
      </c>
      <c r="V45" s="5">
        <v>9845235505</v>
      </c>
      <c r="W45" s="6" t="s">
        <v>89</v>
      </c>
      <c r="X45" s="5" t="s">
        <v>52</v>
      </c>
      <c r="Y45" s="6" t="s">
        <v>51</v>
      </c>
      <c r="Z45" s="5" t="s">
        <v>73</v>
      </c>
      <c r="AA45" s="6" t="s">
        <v>72</v>
      </c>
      <c r="AB45" s="7">
        <f>Q45/100</f>
        <v>0.2496554</v>
      </c>
      <c r="AD45" s="8"/>
      <c r="AF45" s="8"/>
      <c r="AG45" s="8"/>
    </row>
    <row r="46" spans="1:33" x14ac:dyDescent="0.2">
      <c r="A46" s="12">
        <v>6590</v>
      </c>
      <c r="B46" s="13" t="s">
        <v>41</v>
      </c>
      <c r="C46" s="13">
        <v>43389</v>
      </c>
      <c r="D46" s="5">
        <v>130</v>
      </c>
      <c r="E46" s="6" t="s">
        <v>79</v>
      </c>
      <c r="F46" s="5" t="s">
        <v>88</v>
      </c>
      <c r="G46" s="6" t="s">
        <v>87</v>
      </c>
      <c r="H46" s="5" t="str">
        <f>"000198"</f>
        <v>000198</v>
      </c>
      <c r="I46" s="4">
        <v>43120</v>
      </c>
      <c r="J46" s="5" t="str">
        <f>"333403"</f>
        <v>333403</v>
      </c>
      <c r="K46" s="4">
        <v>43120</v>
      </c>
      <c r="L46" s="5" t="str">
        <f>"000363"</f>
        <v>000363</v>
      </c>
      <c r="M46" s="4">
        <v>43131</v>
      </c>
      <c r="N46" s="5">
        <v>18</v>
      </c>
      <c r="O46" s="5" t="str">
        <f>"006537"</f>
        <v>006537</v>
      </c>
      <c r="P46" s="4">
        <v>43383</v>
      </c>
      <c r="Q46" s="7">
        <v>29.80697</v>
      </c>
      <c r="R46" s="7">
        <v>2.4143699999999999</v>
      </c>
      <c r="S46" s="7">
        <v>27.392600000000002</v>
      </c>
      <c r="T46" s="5">
        <v>241</v>
      </c>
      <c r="U46" s="4">
        <v>43389</v>
      </c>
      <c r="V46" s="5">
        <v>8904904737</v>
      </c>
      <c r="W46" s="6" t="s">
        <v>63</v>
      </c>
      <c r="X46" s="5" t="s">
        <v>47</v>
      </c>
      <c r="Y46" s="6" t="s">
        <v>46</v>
      </c>
      <c r="Z46" s="5" t="s">
        <v>73</v>
      </c>
      <c r="AA46" s="6" t="s">
        <v>72</v>
      </c>
      <c r="AB46" s="7">
        <f>Q46/100</f>
        <v>0.29806969999999999</v>
      </c>
      <c r="AD46" s="8"/>
      <c r="AF46" s="8"/>
      <c r="AG46" s="8"/>
    </row>
    <row r="47" spans="1:33" x14ac:dyDescent="0.2">
      <c r="A47" s="12">
        <v>7104</v>
      </c>
      <c r="B47" s="13" t="s">
        <v>41</v>
      </c>
      <c r="C47" s="13">
        <v>43404</v>
      </c>
      <c r="D47" s="5">
        <v>130</v>
      </c>
      <c r="E47" s="6" t="s">
        <v>79</v>
      </c>
      <c r="F47" s="5" t="s">
        <v>86</v>
      </c>
      <c r="G47" s="6" t="s">
        <v>85</v>
      </c>
      <c r="H47" s="5" t="str">
        <f>"000220"</f>
        <v>000220</v>
      </c>
      <c r="I47" s="4">
        <v>43305</v>
      </c>
      <c r="J47" s="5" t="str">
        <f>"000188"</f>
        <v>000188</v>
      </c>
      <c r="K47" s="4">
        <v>43377</v>
      </c>
      <c r="L47" s="5" t="str">
        <f>"000323"</f>
        <v>000323</v>
      </c>
      <c r="M47" s="4">
        <v>43383</v>
      </c>
      <c r="N47" s="5">
        <v>18</v>
      </c>
      <c r="O47" s="5" t="str">
        <f>"007157"</f>
        <v>007157</v>
      </c>
      <c r="P47" s="4">
        <v>43403</v>
      </c>
      <c r="Q47" s="7">
        <v>24.860250000000001</v>
      </c>
      <c r="R47" s="7">
        <v>2.7588699999999999</v>
      </c>
      <c r="S47" s="7">
        <v>22.101379999999999</v>
      </c>
      <c r="T47" s="5">
        <v>256</v>
      </c>
      <c r="U47" s="4">
        <v>43404</v>
      </c>
      <c r="V47" s="5">
        <v>9845235505</v>
      </c>
      <c r="W47" s="6" t="s">
        <v>80</v>
      </c>
      <c r="X47" s="5" t="s">
        <v>54</v>
      </c>
      <c r="Y47" s="6" t="s">
        <v>53</v>
      </c>
      <c r="Z47" s="5" t="s">
        <v>73</v>
      </c>
      <c r="AA47" s="6" t="s">
        <v>72</v>
      </c>
      <c r="AB47" s="7">
        <f>Q47/100</f>
        <v>0.2486025</v>
      </c>
      <c r="AD47" s="8"/>
      <c r="AF47" s="8"/>
      <c r="AG47" s="8"/>
    </row>
    <row r="48" spans="1:33" x14ac:dyDescent="0.2">
      <c r="A48" s="12">
        <v>7105</v>
      </c>
      <c r="B48" s="13" t="s">
        <v>41</v>
      </c>
      <c r="C48" s="13">
        <v>43404</v>
      </c>
      <c r="D48" s="5">
        <v>130</v>
      </c>
      <c r="E48" s="6" t="s">
        <v>79</v>
      </c>
      <c r="F48" s="5" t="s">
        <v>84</v>
      </c>
      <c r="G48" s="6" t="s">
        <v>83</v>
      </c>
      <c r="H48" s="5" t="str">
        <f>"000222"</f>
        <v>000222</v>
      </c>
      <c r="I48" s="4">
        <v>43320</v>
      </c>
      <c r="J48" s="5" t="str">
        <f>"000187"</f>
        <v>000187</v>
      </c>
      <c r="K48" s="4">
        <v>43377</v>
      </c>
      <c r="L48" s="5" t="str">
        <f>"000324"</f>
        <v>000324</v>
      </c>
      <c r="M48" s="4">
        <v>43383</v>
      </c>
      <c r="N48" s="5">
        <v>18</v>
      </c>
      <c r="O48" s="5" t="str">
        <f>"007158"</f>
        <v>007158</v>
      </c>
      <c r="P48" s="4">
        <v>43403</v>
      </c>
      <c r="Q48" s="7">
        <v>24.928519999999999</v>
      </c>
      <c r="R48" s="7">
        <v>2.7668200000000001</v>
      </c>
      <c r="S48" s="7">
        <v>22.1617</v>
      </c>
      <c r="T48" s="5">
        <v>256</v>
      </c>
      <c r="U48" s="4">
        <v>43404</v>
      </c>
      <c r="V48" s="5">
        <v>9845235505</v>
      </c>
      <c r="W48" s="6" t="s">
        <v>80</v>
      </c>
      <c r="X48" s="5" t="s">
        <v>54</v>
      </c>
      <c r="Y48" s="6" t="s">
        <v>53</v>
      </c>
      <c r="Z48" s="5" t="s">
        <v>73</v>
      </c>
      <c r="AA48" s="6" t="s">
        <v>72</v>
      </c>
      <c r="AB48" s="7">
        <f>Q48/100</f>
        <v>0.24928519999999998</v>
      </c>
      <c r="AD48" s="8"/>
      <c r="AF48" s="8"/>
      <c r="AG48" s="8"/>
    </row>
    <row r="49" spans="1:33" x14ac:dyDescent="0.2">
      <c r="A49" s="12">
        <v>7106</v>
      </c>
      <c r="B49" s="13" t="s">
        <v>41</v>
      </c>
      <c r="C49" s="13">
        <v>43404</v>
      </c>
      <c r="D49" s="5">
        <v>130</v>
      </c>
      <c r="E49" s="6" t="s">
        <v>79</v>
      </c>
      <c r="F49" s="5" t="s">
        <v>82</v>
      </c>
      <c r="G49" s="6" t="s">
        <v>81</v>
      </c>
      <c r="H49" s="5" t="str">
        <f>"000152"</f>
        <v>000152</v>
      </c>
      <c r="I49" s="4">
        <v>43244</v>
      </c>
      <c r="J49" s="5" t="str">
        <f>"000158"</f>
        <v>000158</v>
      </c>
      <c r="K49" s="4">
        <v>43285</v>
      </c>
      <c r="L49" s="5" t="str">
        <f>"000247"</f>
        <v>000247</v>
      </c>
      <c r="M49" s="4">
        <v>43291</v>
      </c>
      <c r="N49" s="5">
        <v>18</v>
      </c>
      <c r="O49" s="5" t="str">
        <f>"007051"</f>
        <v>007051</v>
      </c>
      <c r="P49" s="4">
        <v>43400</v>
      </c>
      <c r="Q49" s="7">
        <v>62.4846</v>
      </c>
      <c r="R49" s="7">
        <v>5.4562499999999998</v>
      </c>
      <c r="S49" s="7">
        <v>57.028350000000003</v>
      </c>
      <c r="T49" s="5">
        <v>260</v>
      </c>
      <c r="U49" s="4">
        <v>43404</v>
      </c>
      <c r="V49" s="5">
        <v>9845235505</v>
      </c>
      <c r="W49" s="6" t="s">
        <v>80</v>
      </c>
      <c r="X49" s="5" t="s">
        <v>56</v>
      </c>
      <c r="Y49" s="6" t="s">
        <v>55</v>
      </c>
      <c r="Z49" s="5" t="s">
        <v>73</v>
      </c>
      <c r="AA49" s="6" t="s">
        <v>72</v>
      </c>
      <c r="AB49" s="7">
        <f>Q49/100</f>
        <v>0.62484600000000001</v>
      </c>
      <c r="AD49" s="8"/>
      <c r="AF49" s="8"/>
      <c r="AG49" s="8"/>
    </row>
    <row r="50" spans="1:33" x14ac:dyDescent="0.2">
      <c r="A50" s="12">
        <v>7566</v>
      </c>
      <c r="B50" s="13" t="s">
        <v>40</v>
      </c>
      <c r="C50" s="13">
        <v>43437</v>
      </c>
      <c r="D50" s="5">
        <v>130</v>
      </c>
      <c r="E50" s="6" t="s">
        <v>79</v>
      </c>
      <c r="F50" s="5" t="s">
        <v>78</v>
      </c>
      <c r="G50" s="6" t="s">
        <v>77</v>
      </c>
      <c r="H50" s="5" t="str">
        <f>"000109"</f>
        <v>000109</v>
      </c>
      <c r="I50" s="4">
        <v>43075</v>
      </c>
      <c r="J50" s="5" t="str">
        <f>"333459"</f>
        <v>333459</v>
      </c>
      <c r="K50" s="4">
        <v>43179</v>
      </c>
      <c r="L50" s="5" t="str">
        <f>"000426"</f>
        <v>000426</v>
      </c>
      <c r="M50" s="4">
        <v>43179</v>
      </c>
      <c r="N50" s="5">
        <v>18</v>
      </c>
      <c r="O50" s="5" t="str">
        <f>"007633"</f>
        <v>007633</v>
      </c>
      <c r="P50" s="4">
        <v>43432</v>
      </c>
      <c r="Q50" s="7">
        <v>54.8932</v>
      </c>
      <c r="R50" s="7">
        <v>3.3484799999999999</v>
      </c>
      <c r="S50" s="7">
        <v>51.544719999999998</v>
      </c>
      <c r="T50" s="5">
        <v>280</v>
      </c>
      <c r="U50" s="4">
        <v>43437</v>
      </c>
      <c r="V50" s="5">
        <v>9886073963</v>
      </c>
      <c r="W50" s="6" t="s">
        <v>76</v>
      </c>
      <c r="X50" s="5" t="s">
        <v>75</v>
      </c>
      <c r="Y50" s="6" t="s">
        <v>74</v>
      </c>
      <c r="Z50" s="5" t="s">
        <v>73</v>
      </c>
      <c r="AA50" s="6" t="s">
        <v>72</v>
      </c>
      <c r="AB50" s="7">
        <f>Q50/100</f>
        <v>0.54893199999999998</v>
      </c>
      <c r="AD50" s="8"/>
      <c r="AF50" s="8"/>
      <c r="AG5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2019-01-17T07:49:57Z</dcterms:modified>
</cp:coreProperties>
</file>