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H27" i="1"/>
  <c r="J27" i="1"/>
  <c r="L27" i="1"/>
  <c r="O27" i="1"/>
  <c r="H28" i="1"/>
  <c r="J28" i="1"/>
  <c r="L28" i="1"/>
  <c r="O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  <c r="H32" i="1"/>
  <c r="J32" i="1"/>
  <c r="L32" i="1"/>
  <c r="O32" i="1"/>
  <c r="AB32" i="1"/>
  <c r="H33" i="1"/>
  <c r="J33" i="1"/>
  <c r="L33" i="1"/>
  <c r="O33" i="1"/>
  <c r="AB33" i="1"/>
  <c r="H34" i="1"/>
  <c r="J34" i="1"/>
  <c r="L34" i="1"/>
  <c r="O34" i="1"/>
  <c r="AB34" i="1"/>
  <c r="H35" i="1"/>
  <c r="J35" i="1"/>
  <c r="L35" i="1"/>
  <c r="O35" i="1"/>
  <c r="AB35" i="1"/>
  <c r="H36" i="1"/>
  <c r="J36" i="1"/>
  <c r="L36" i="1"/>
  <c r="O36" i="1"/>
  <c r="AB36" i="1"/>
  <c r="H37" i="1"/>
  <c r="J37" i="1"/>
  <c r="L37" i="1"/>
  <c r="O37" i="1"/>
  <c r="AB37" i="1"/>
  <c r="H38" i="1"/>
  <c r="J38" i="1"/>
  <c r="L38" i="1"/>
  <c r="O38" i="1"/>
  <c r="AB38" i="1"/>
  <c r="H39" i="1"/>
  <c r="J39" i="1"/>
  <c r="L39" i="1"/>
  <c r="O39" i="1"/>
  <c r="AB39" i="1"/>
  <c r="H40" i="1"/>
  <c r="J40" i="1"/>
  <c r="L40" i="1"/>
  <c r="O40" i="1"/>
  <c r="AB40" i="1"/>
  <c r="H41" i="1"/>
  <c r="J41" i="1"/>
  <c r="L41" i="1"/>
  <c r="O41" i="1"/>
  <c r="AB41" i="1"/>
  <c r="H42" i="1"/>
  <c r="J42" i="1"/>
  <c r="L42" i="1"/>
  <c r="O42" i="1"/>
  <c r="AB42" i="1"/>
  <c r="H43" i="1"/>
  <c r="J43" i="1"/>
  <c r="L43" i="1"/>
  <c r="O43" i="1"/>
  <c r="AB43" i="1"/>
  <c r="H44" i="1"/>
  <c r="J44" i="1"/>
  <c r="L44" i="1"/>
  <c r="O44" i="1"/>
  <c r="AB44" i="1"/>
  <c r="H45" i="1"/>
  <c r="J45" i="1"/>
  <c r="L45" i="1"/>
  <c r="O45" i="1"/>
  <c r="AB45" i="1"/>
  <c r="H46" i="1"/>
  <c r="J46" i="1"/>
  <c r="L46" i="1"/>
  <c r="O46" i="1"/>
  <c r="AB46" i="1"/>
  <c r="H47" i="1"/>
  <c r="J47" i="1"/>
  <c r="L47" i="1"/>
  <c r="O47" i="1"/>
  <c r="AB47" i="1"/>
</calcChain>
</file>

<file path=xl/sharedStrings.xml><?xml version="1.0" encoding="utf-8"?>
<sst xmlns="http://schemas.openxmlformats.org/spreadsheetml/2006/main" count="442" uniqueCount="187">
  <si>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</si>
  <si>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</si>
  <si>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</si>
  <si>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</si>
  <si>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</si>
  <si>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</si>
  <si>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</si>
  <si>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</si>
  <si>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</si>
  <si>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</si>
  <si>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</si>
  <si>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</si>
  <si>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</si>
  <si>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</si>
  <si>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</si>
  <si>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</si>
  <si>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</si>
  <si>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</si>
  <si>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</si>
  <si>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</si>
  <si>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</si>
  <si>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</si>
  <si>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</si>
  <si>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</si>
  <si>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</si>
  <si>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</si>
  <si>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</si>
  <si>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</si>
  <si>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</si>
  <si>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</si>
  <si>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</si>
  <si>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</si>
  <si>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</si>
  <si>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</si>
  <si>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</si>
  <si>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</si>
  <si>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</si>
  <si>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</si>
  <si>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December</t>
  </si>
  <si>
    <t>October</t>
  </si>
  <si>
    <t xml:space="preserve"> Assistant Executive Engineer Electrical West Zone</t>
  </si>
  <si>
    <t>ddo209</t>
  </si>
  <si>
    <t>State Finance Commission Untied Grant Works</t>
  </si>
  <si>
    <t>P3111</t>
  </si>
  <si>
    <t>KRIDL</t>
  </si>
  <si>
    <t>Water Supply New Areas</t>
  </si>
  <si>
    <t>P1802</t>
  </si>
  <si>
    <t>June</t>
  </si>
  <si>
    <t>Works sanctioned by Dy. Mayor</t>
  </si>
  <si>
    <t>P2178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</si>
  <si>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</si>
  <si>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</si>
  <si>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</si>
  <si>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</si>
  <si>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Road and Footpath Maintenance</t>
  </si>
  <si>
    <t>P3296</t>
  </si>
  <si>
    <t>14th Finance Commission Works - UGD Works</t>
  </si>
  <si>
    <t>P3295</t>
  </si>
  <si>
    <t>Works sanctioned by Hon Mayor</t>
  </si>
  <si>
    <t>P0190</t>
  </si>
  <si>
    <t>Special comprehensive development works in Bangalore city (Bangalore city in charge Minister Discretionary Grants)</t>
  </si>
  <si>
    <t>P3075</t>
  </si>
  <si>
    <t>Sai Electric Com</t>
  </si>
  <si>
    <t>M and R to Electrical Inst in BMP Buildings, Schools, M.Homes, Community Halls, Markets and Others</t>
  </si>
  <si>
    <t>P0294</t>
  </si>
  <si>
    <t>14th Finance Commission Works - Drinking Water</t>
  </si>
  <si>
    <t>P3293</t>
  </si>
  <si>
    <t xml:space="preserve">KRIDL </t>
  </si>
  <si>
    <t xml:space="preserve"> Assistant Executive Engineer J J R nagar West Zone</t>
  </si>
  <si>
    <t>ddo268</t>
  </si>
  <si>
    <t xml:space="preserve">somshekar G      </t>
  </si>
  <si>
    <t>Construction of Drains from sujatha Tent towards Madina Hotel in ward No. 135</t>
  </si>
  <si>
    <t>135-17-000015</t>
  </si>
  <si>
    <t>Padarayanapura</t>
  </si>
  <si>
    <t xml:space="preserve"> G Somashekar</t>
  </si>
  <si>
    <t>Improvement to  Drain from 8th Main Road to 9th Main road Padarayanapura in ward No. 135</t>
  </si>
  <si>
    <t>135-17-000023</t>
  </si>
  <si>
    <t xml:space="preserve">somashekar G      </t>
  </si>
  <si>
    <t>Improvement to Unity Hospital road  and Surrounding Area in ward No. 135</t>
  </si>
  <si>
    <t>135-17-000016</t>
  </si>
  <si>
    <t>Developing works to vinayakanagar dead end Road in   ward No. 135</t>
  </si>
  <si>
    <t>135-17-000021</t>
  </si>
  <si>
    <t>Maintanance of Name Boards, CDs, small drains in ward No, 135</t>
  </si>
  <si>
    <t>135-17-000024</t>
  </si>
  <si>
    <t>The Technical Manager KRIDL</t>
  </si>
  <si>
    <t>Providing Street light fittings and Control Switches, waires, Panels with allied Accessories in ward no Jurisdiction in ward no 135</t>
  </si>
  <si>
    <t>135-17-000003</t>
  </si>
  <si>
    <t>M S Venkatesh</t>
  </si>
  <si>
    <t>Pot hole filling Name boards and road maintenance works fror the year 2015-16 in ward no 135</t>
  </si>
  <si>
    <t>135-16-000011</t>
  </si>
  <si>
    <t>K.R.I.D.L</t>
  </si>
  <si>
    <t>Filling of potholes and maintenance of roads and depot collection in padarayanpura W-135 for the year 2012-13</t>
  </si>
  <si>
    <t>135-13-000005</t>
  </si>
  <si>
    <t>Ward Maintenance works of Engaging private  gangmen and tractor from april-2014 to september-2014 in ward no-135</t>
  </si>
  <si>
    <t>135-15-000014</t>
  </si>
  <si>
    <t>G Somashekar</t>
  </si>
  <si>
    <t>Drilling and commissioning of new borewells and  pipeline laying laying works in ward No. 135 padarayanapura</t>
  </si>
  <si>
    <t>135-17-000041</t>
  </si>
  <si>
    <t>Drilling and commissioning of new borwell and providing water supply line in west Padarayanpurain ward no-135</t>
  </si>
  <si>
    <t>135-18-000006</t>
  </si>
  <si>
    <t>Shivmadaiah</t>
  </si>
  <si>
    <t>Providing pipe drains and other improvements in west padarayanapura 5th and 10th Cross and surrounding Area in ward No. 135</t>
  </si>
  <si>
    <t>135-17-000014</t>
  </si>
  <si>
    <t>Providing poles, LED fittings, cable control switch etc., at ward no 135</t>
  </si>
  <si>
    <t>135-16-000025</t>
  </si>
  <si>
    <t xml:space="preserve">Emergency work, pot hole filling and Road Maintanance works in ward No. 135 for the year 2016-17 </t>
  </si>
  <si>
    <t>135-17-000025</t>
  </si>
  <si>
    <t>R Chandru</t>
  </si>
  <si>
    <t>Improvements works from Pipeline road to Nehru road via 2nd cross west Padarayanapura  in ward no 135</t>
  </si>
  <si>
    <t>135-16-000009</t>
  </si>
  <si>
    <t>R CHANDRU,</t>
  </si>
  <si>
    <t>Improvement works to 3rd cross west of Padarayanapura in ward no 135</t>
  </si>
  <si>
    <t>135-16-000005</t>
  </si>
  <si>
    <t>Improvments to drain in hosahalli main road from 9th cross to 11th cross Padarayanapura in ward no 135</t>
  </si>
  <si>
    <t>135-16-000010</t>
  </si>
  <si>
    <t>Improvements to drain in 8th main road from 13th cross to 4th cross Padarayanapura in ward no 135</t>
  </si>
  <si>
    <t>135-16-000007</t>
  </si>
  <si>
    <t>Improvements to 12th cross road Padarayanapura from 10th cross to 11th cross in ward no 135</t>
  </si>
  <si>
    <t>135-16-000006</t>
  </si>
  <si>
    <t>Providing energy saving street light system with timers</t>
  </si>
  <si>
    <t>P2629</t>
  </si>
  <si>
    <t>Ms Himagiri Sree Electricals</t>
  </si>
  <si>
    <t>Providing timer Switch and Connected Accessories at Chamarajapet Constituency 135 141</t>
  </si>
  <si>
    <t>135-12-000033</t>
  </si>
  <si>
    <t>Annual Operation And maintenance Of Street Lights at Padarayanapura and Ajadnagara in Ward No-135 and 141</t>
  </si>
  <si>
    <t>135-16-000001</t>
  </si>
  <si>
    <t>Shree Vinayaka Electricals</t>
  </si>
  <si>
    <t>Providing Electrical maintenance and Additional fixtures to BBMP Buildings/ Hospitals/ Metarnity homes/ Schools in Chamarajpet Constituency Areas in ward no- 135, 136, 137, 138, 139, 140 and 141</t>
  </si>
  <si>
    <t>135-16-000017</t>
  </si>
  <si>
    <t>General Development works under SFC in jurisdiction of ward no 135</t>
  </si>
  <si>
    <t>135-17-000026</t>
  </si>
  <si>
    <t>Shivamadaiah</t>
  </si>
  <si>
    <t>Improvements to 9th cross west of Padarayanapura from Nehru road towards Arafath Nagar in ward no 135</t>
  </si>
  <si>
    <t>135-16-000030</t>
  </si>
  <si>
    <t>Somashekar G</t>
  </si>
  <si>
    <t>Maintenance and improvements to park in ward no 135</t>
  </si>
  <si>
    <t>135-18-000010</t>
  </si>
  <si>
    <t>Providing and improvements UGD lines near sujatha tent Arafath Nagar in ward no 135</t>
  </si>
  <si>
    <t>135-18-000013</t>
  </si>
  <si>
    <t xml:space="preserve"> Somashekar G</t>
  </si>
  <si>
    <t>Maintenance of Office building in Padarayanapura in ward no 135</t>
  </si>
  <si>
    <t>135-18-000009</t>
  </si>
  <si>
    <t xml:space="preserve">Chame Gowda </t>
  </si>
  <si>
    <t>Development of works to Secondary drains from 11th cross Padarayanapura towards Nehru road in ward 135</t>
  </si>
  <si>
    <t>135-16-000027</t>
  </si>
  <si>
    <t>B.S.DEEPAK KUMAR.</t>
  </si>
  <si>
    <t>Development Works to Secondary drains from Railway Bridge towards Nehru road in ward 135</t>
  </si>
  <si>
    <t>135-16-000028</t>
  </si>
  <si>
    <t>B.S. Deepak Kumar</t>
  </si>
  <si>
    <t>Providing Chain link fencing covering slabs and other Improvements works in ward no 135</t>
  </si>
  <si>
    <t>135-16-000029</t>
  </si>
  <si>
    <t>B.S.Deepak Kumar</t>
  </si>
  <si>
    <t>Improvements works to 4th cross west to Padarayanapura and surrounding area development works in ward 135</t>
  </si>
  <si>
    <t>135-16-000026</t>
  </si>
  <si>
    <t xml:space="preserve">Improvements works to 15th cross Padarayanapura and other cross roads in ward no 135 </t>
  </si>
  <si>
    <t>135-15-000049</t>
  </si>
  <si>
    <t>KRIDL (WEST)</t>
  </si>
  <si>
    <t>Development of Roads and Drains in Ward No 135 Padarayanpura</t>
  </si>
  <si>
    <t>135-17-000031</t>
  </si>
  <si>
    <t>Development of Secondary drains or Territary drains at Ward No 135 Padarayanpura</t>
  </si>
  <si>
    <t>135-17-000030</t>
  </si>
  <si>
    <t>K Jagadish</t>
  </si>
  <si>
    <t>Improvements to roads in Arafath Nagar and surrounding area in ward no 135</t>
  </si>
  <si>
    <t>135-18-000014</t>
  </si>
  <si>
    <t>Drilling and Commissioning New Borewells Padarayanapura, in surrounding of ward No. 135</t>
  </si>
  <si>
    <t>135-17-000018</t>
  </si>
  <si>
    <t>Providing and laying of pipeline for water supply in ward No. 135</t>
  </si>
  <si>
    <t>135-17-000020</t>
  </si>
  <si>
    <t>Developments works to Kalikamba temple road in ward no 135</t>
  </si>
  <si>
    <t>135-16-000020</t>
  </si>
  <si>
    <t>Somashekar.G</t>
  </si>
  <si>
    <t>Improvement works to secondary drains (in bad reaches in ward no 135)</t>
  </si>
  <si>
    <t>135-16-000023</t>
  </si>
  <si>
    <t>Improvments to 14th cross Padarayanapura and surrounding area in ward no 135</t>
  </si>
  <si>
    <t>135-16-000018</t>
  </si>
  <si>
    <t>Development works to Padarayanapura 11th C cross in ward no 135</t>
  </si>
  <si>
    <t>135-16-000024</t>
  </si>
  <si>
    <t>Construction of drains in 13th C cross and surrounding areas in ward no 135</t>
  </si>
  <si>
    <t>135-16-000021</t>
  </si>
  <si>
    <t>Construction of side drain in 12th cross, Padarayanapura surrounding area in ward no 135</t>
  </si>
  <si>
    <t>135-16-000022</t>
  </si>
  <si>
    <t>Improvements 13th F cross and steps to side drains in 13th E cross Padarayanapura in ward no 135</t>
  </si>
  <si>
    <t>135-16-000019</t>
  </si>
  <si>
    <t>Engagement of Gangman and Hiring of Tractor Tippers for cleaning and Maintenance of road side drains and other cleaning works in works in ward no 135</t>
  </si>
  <si>
    <t>135-17-000035</t>
  </si>
  <si>
    <t>Providing water supply lines for drinking water works in west Padarayanapura and 7th main Padarayanapura in ward no 135</t>
  </si>
  <si>
    <t>135-18-000011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</si>
</sst>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tabSelected="1" workbookViewId="0">
      <selection activeCell="A2" sqref="A2:XFD47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1346</v>
      </c>
      <c r="B2" s="13" t="s">
        <v>34</v>
      </c>
      <c r="C2" s="13">
        <v>43241</v>
      </c>
      <c r="D2" s="5">
        <v>135</v>
      </c>
      <c r="E2" s="6" t="s">
        <v>73</v>
      </c>
      <c r="F2" s="5" t="s">
        <v>186</v>
      </c>
      <c r="G2" s="6" t="s">
        <v>185</v>
      </c>
      <c r="H2" s="5" t="str">
        <f>"000016"</f>
        <v>000016</v>
      </c>
      <c r="I2" s="4">
        <v>43217</v>
      </c>
      <c r="J2" s="5" t="str">
        <f>"000004"</f>
        <v>000004</v>
      </c>
      <c r="K2" s="4">
        <v>43217</v>
      </c>
      <c r="L2" s="5" t="str">
        <f>"000012"</f>
        <v>000012</v>
      </c>
      <c r="M2" s="4">
        <v>43217</v>
      </c>
      <c r="N2" s="5">
        <v>18</v>
      </c>
      <c r="O2" s="5" t="str">
        <f>"001668"</f>
        <v>001668</v>
      </c>
      <c r="P2" s="4">
        <v>43239</v>
      </c>
      <c r="Q2" s="7">
        <v>20.99155</v>
      </c>
      <c r="R2" s="7">
        <v>1.8262400000000001</v>
      </c>
      <c r="S2" s="7">
        <v>19.165310000000002</v>
      </c>
      <c r="T2" s="5">
        <v>56</v>
      </c>
      <c r="U2" s="4">
        <v>43241</v>
      </c>
      <c r="V2" s="5">
        <v>9945533990</v>
      </c>
      <c r="W2" s="6" t="s">
        <v>95</v>
      </c>
      <c r="X2" s="5" t="s">
        <v>66</v>
      </c>
      <c r="Y2" s="6" t="s">
        <v>65</v>
      </c>
      <c r="Z2" s="5" t="s">
        <v>69</v>
      </c>
      <c r="AA2" s="6" t="s">
        <v>68</v>
      </c>
      <c r="AB2" s="7">
        <v>0.2099155</v>
      </c>
      <c r="AD2" s="8"/>
      <c r="AF2" s="8"/>
      <c r="AG2" s="8"/>
    </row>
    <row r="3" spans="1:33" x14ac:dyDescent="0.2">
      <c r="A3" s="12">
        <v>1347</v>
      </c>
      <c r="B3" s="13" t="s">
        <v>34</v>
      </c>
      <c r="C3" s="13">
        <v>43241</v>
      </c>
      <c r="D3" s="5">
        <v>135</v>
      </c>
      <c r="E3" s="6" t="s">
        <v>73</v>
      </c>
      <c r="F3" s="5" t="s">
        <v>184</v>
      </c>
      <c r="G3" s="6" t="s">
        <v>183</v>
      </c>
      <c r="H3" s="5" t="str">
        <f>"000031"</f>
        <v>000031</v>
      </c>
      <c r="I3" s="4">
        <v>43217</v>
      </c>
      <c r="J3" s="5" t="str">
        <f>"000025"</f>
        <v>000025</v>
      </c>
      <c r="K3" s="4">
        <v>43217</v>
      </c>
      <c r="L3" s="5" t="str">
        <f>"000088"</f>
        <v>000088</v>
      </c>
      <c r="M3" s="4">
        <v>43218</v>
      </c>
      <c r="N3" s="5">
        <v>17</v>
      </c>
      <c r="O3" s="5" t="str">
        <f>"001672"</f>
        <v>001672</v>
      </c>
      <c r="P3" s="4">
        <v>43239</v>
      </c>
      <c r="Q3" s="7">
        <v>12.595800000000001</v>
      </c>
      <c r="R3" s="7">
        <v>0.89427999999999996</v>
      </c>
      <c r="S3" s="7">
        <v>11.70152</v>
      </c>
      <c r="T3" s="5">
        <v>56</v>
      </c>
      <c r="U3" s="4">
        <v>43241</v>
      </c>
      <c r="V3" s="5">
        <v>9945533990</v>
      </c>
      <c r="W3" s="6" t="s">
        <v>74</v>
      </c>
      <c r="X3" s="5" t="s">
        <v>36</v>
      </c>
      <c r="Y3" s="6" t="s">
        <v>37</v>
      </c>
      <c r="Z3" s="5" t="s">
        <v>69</v>
      </c>
      <c r="AA3" s="6" t="s">
        <v>68</v>
      </c>
      <c r="AB3" s="7">
        <v>0.12595800000000001</v>
      </c>
      <c r="AD3" s="8"/>
      <c r="AF3" s="8"/>
      <c r="AG3" s="8"/>
    </row>
    <row r="4" spans="1:33" x14ac:dyDescent="0.2">
      <c r="A4" s="12">
        <v>1561</v>
      </c>
      <c r="B4" s="13" t="s">
        <v>34</v>
      </c>
      <c r="C4" s="13">
        <v>43251</v>
      </c>
      <c r="D4" s="5">
        <v>135</v>
      </c>
      <c r="E4" s="6" t="s">
        <v>73</v>
      </c>
      <c r="F4" s="5" t="s">
        <v>182</v>
      </c>
      <c r="G4" s="6" t="s">
        <v>181</v>
      </c>
      <c r="H4" s="5" t="str">
        <f>"000027"</f>
        <v>000027</v>
      </c>
      <c r="I4" s="4">
        <v>42543</v>
      </c>
      <c r="J4" s="5" t="str">
        <f>"000374"</f>
        <v>000374</v>
      </c>
      <c r="K4" s="4">
        <v>42613</v>
      </c>
      <c r="L4" s="5" t="str">
        <f>"000374"</f>
        <v>000374</v>
      </c>
      <c r="M4" s="4">
        <v>42613</v>
      </c>
      <c r="N4" s="5">
        <v>16</v>
      </c>
      <c r="O4" s="5" t="str">
        <f>"001709"</f>
        <v>001709</v>
      </c>
      <c r="P4" s="4">
        <v>43242</v>
      </c>
      <c r="Q4" s="7">
        <v>10.47082</v>
      </c>
      <c r="R4" s="7">
        <v>1.29244</v>
      </c>
      <c r="S4" s="7">
        <v>9.1783800000000006</v>
      </c>
      <c r="T4" s="5">
        <v>67</v>
      </c>
      <c r="U4" s="4">
        <v>43251</v>
      </c>
      <c r="V4" s="5">
        <v>9945533990</v>
      </c>
      <c r="W4" s="6" t="s">
        <v>95</v>
      </c>
      <c r="X4" s="5" t="s">
        <v>49</v>
      </c>
      <c r="Y4" s="6" t="s">
        <v>48</v>
      </c>
      <c r="Z4" s="5" t="s">
        <v>69</v>
      </c>
      <c r="AA4" s="6" t="s">
        <v>68</v>
      </c>
      <c r="AB4" s="7">
        <v>0.1047082</v>
      </c>
      <c r="AD4" s="8"/>
      <c r="AF4" s="8"/>
      <c r="AG4" s="8"/>
    </row>
    <row r="5" spans="1:33" x14ac:dyDescent="0.2">
      <c r="A5" s="12">
        <v>1562</v>
      </c>
      <c r="B5" s="13" t="s">
        <v>34</v>
      </c>
      <c r="C5" s="13">
        <v>43251</v>
      </c>
      <c r="D5" s="5">
        <v>135</v>
      </c>
      <c r="E5" s="6" t="s">
        <v>73</v>
      </c>
      <c r="F5" s="5" t="s">
        <v>180</v>
      </c>
      <c r="G5" s="6" t="s">
        <v>179</v>
      </c>
      <c r="H5" s="5" t="str">
        <f>"000030"</f>
        <v>000030</v>
      </c>
      <c r="I5" s="4">
        <v>42543</v>
      </c>
      <c r="J5" s="5" t="str">
        <f>"000375"</f>
        <v>000375</v>
      </c>
      <c r="K5" s="4">
        <v>42613</v>
      </c>
      <c r="L5" s="5" t="str">
        <f>"000375"</f>
        <v>000375</v>
      </c>
      <c r="M5" s="4">
        <v>42613</v>
      </c>
      <c r="N5" s="5">
        <v>16</v>
      </c>
      <c r="O5" s="5" t="str">
        <f>"001710"</f>
        <v>001710</v>
      </c>
      <c r="P5" s="4">
        <v>43242</v>
      </c>
      <c r="Q5" s="7">
        <v>12.55505</v>
      </c>
      <c r="R5" s="7">
        <v>1.5474699999999999</v>
      </c>
      <c r="S5" s="7">
        <v>11.007580000000001</v>
      </c>
      <c r="T5" s="5">
        <v>67</v>
      </c>
      <c r="U5" s="4">
        <v>43251</v>
      </c>
      <c r="V5" s="5">
        <v>9945533990</v>
      </c>
      <c r="W5" s="6" t="s">
        <v>170</v>
      </c>
      <c r="X5" s="5" t="s">
        <v>49</v>
      </c>
      <c r="Y5" s="6" t="s">
        <v>48</v>
      </c>
      <c r="Z5" s="5" t="s">
        <v>69</v>
      </c>
      <c r="AA5" s="6" t="s">
        <v>68</v>
      </c>
      <c r="AB5" s="7">
        <v>0.12555050000000001</v>
      </c>
      <c r="AD5" s="8"/>
      <c r="AF5" s="8"/>
      <c r="AG5" s="8"/>
    </row>
    <row r="6" spans="1:33" x14ac:dyDescent="0.2">
      <c r="A6" s="12">
        <v>1563</v>
      </c>
      <c r="B6" s="13" t="s">
        <v>34</v>
      </c>
      <c r="C6" s="13">
        <v>43251</v>
      </c>
      <c r="D6" s="5">
        <v>135</v>
      </c>
      <c r="E6" s="6" t="s">
        <v>73</v>
      </c>
      <c r="F6" s="5" t="s">
        <v>178</v>
      </c>
      <c r="G6" s="6" t="s">
        <v>177</v>
      </c>
      <c r="H6" s="5" t="str">
        <f>"000029"</f>
        <v>000029</v>
      </c>
      <c r="I6" s="4">
        <v>42543</v>
      </c>
      <c r="J6" s="5" t="str">
        <f>"000376"</f>
        <v>000376</v>
      </c>
      <c r="K6" s="4">
        <v>42613</v>
      </c>
      <c r="L6" s="5" t="str">
        <f>"000376"</f>
        <v>000376</v>
      </c>
      <c r="M6" s="4">
        <v>42613</v>
      </c>
      <c r="N6" s="5">
        <v>16</v>
      </c>
      <c r="O6" s="5" t="str">
        <f>"001711"</f>
        <v>001711</v>
      </c>
      <c r="P6" s="4">
        <v>43242</v>
      </c>
      <c r="Q6" s="7">
        <v>12.597</v>
      </c>
      <c r="R6" s="7">
        <v>1.5368200000000001</v>
      </c>
      <c r="S6" s="7">
        <v>11.060180000000001</v>
      </c>
      <c r="T6" s="5">
        <v>67</v>
      </c>
      <c r="U6" s="4">
        <v>43251</v>
      </c>
      <c r="V6" s="5">
        <v>9945533990</v>
      </c>
      <c r="W6" s="6" t="s">
        <v>95</v>
      </c>
      <c r="X6" s="5" t="s">
        <v>49</v>
      </c>
      <c r="Y6" s="6" t="s">
        <v>48</v>
      </c>
      <c r="Z6" s="5" t="s">
        <v>69</v>
      </c>
      <c r="AA6" s="6" t="s">
        <v>68</v>
      </c>
      <c r="AB6" s="7">
        <v>0.12597</v>
      </c>
      <c r="AD6" s="8"/>
      <c r="AF6" s="8"/>
      <c r="AG6" s="8"/>
    </row>
    <row r="7" spans="1:33" x14ac:dyDescent="0.2">
      <c r="A7" s="12">
        <v>1564</v>
      </c>
      <c r="B7" s="13" t="s">
        <v>34</v>
      </c>
      <c r="C7" s="13">
        <v>43251</v>
      </c>
      <c r="D7" s="5">
        <v>135</v>
      </c>
      <c r="E7" s="6" t="s">
        <v>73</v>
      </c>
      <c r="F7" s="5" t="s">
        <v>176</v>
      </c>
      <c r="G7" s="6" t="s">
        <v>175</v>
      </c>
      <c r="H7" s="5" t="str">
        <f>"000032"</f>
        <v>000032</v>
      </c>
      <c r="I7" s="4">
        <v>42543</v>
      </c>
      <c r="J7" s="5" t="str">
        <f>"000377"</f>
        <v>000377</v>
      </c>
      <c r="K7" s="4">
        <v>42613</v>
      </c>
      <c r="L7" s="5" t="str">
        <f>"000377"</f>
        <v>000377</v>
      </c>
      <c r="M7" s="4">
        <v>42613</v>
      </c>
      <c r="N7" s="5">
        <v>16</v>
      </c>
      <c r="O7" s="5" t="str">
        <f>"001712"</f>
        <v>001712</v>
      </c>
      <c r="P7" s="4">
        <v>43242</v>
      </c>
      <c r="Q7" s="7">
        <v>20.99</v>
      </c>
      <c r="R7" s="7">
        <v>2.6631900000000002</v>
      </c>
      <c r="S7" s="7">
        <v>18.326809999999998</v>
      </c>
      <c r="T7" s="5">
        <v>67</v>
      </c>
      <c r="U7" s="4">
        <v>43251</v>
      </c>
      <c r="V7" s="5">
        <v>9945533990</v>
      </c>
      <c r="W7" s="6" t="s">
        <v>95</v>
      </c>
      <c r="X7" s="5" t="s">
        <v>49</v>
      </c>
      <c r="Y7" s="6" t="s">
        <v>48</v>
      </c>
      <c r="Z7" s="5" t="s">
        <v>69</v>
      </c>
      <c r="AA7" s="6" t="s">
        <v>68</v>
      </c>
      <c r="AB7" s="7">
        <v>0.20989999999999998</v>
      </c>
      <c r="AD7" s="8"/>
      <c r="AF7" s="8"/>
      <c r="AG7" s="8"/>
    </row>
    <row r="8" spans="1:33" x14ac:dyDescent="0.2">
      <c r="A8" s="12">
        <v>1565</v>
      </c>
      <c r="B8" s="13" t="s">
        <v>34</v>
      </c>
      <c r="C8" s="13">
        <v>43251</v>
      </c>
      <c r="D8" s="5">
        <v>135</v>
      </c>
      <c r="E8" s="6" t="s">
        <v>73</v>
      </c>
      <c r="F8" s="5" t="s">
        <v>174</v>
      </c>
      <c r="G8" s="6" t="s">
        <v>173</v>
      </c>
      <c r="H8" s="5" t="str">
        <f>"000016"</f>
        <v>000016</v>
      </c>
      <c r="I8" s="4">
        <v>42567</v>
      </c>
      <c r="J8" s="5" t="str">
        <f>"000378"</f>
        <v>000378</v>
      </c>
      <c r="K8" s="4">
        <v>42613</v>
      </c>
      <c r="L8" s="5" t="str">
        <f>"000378"</f>
        <v>000378</v>
      </c>
      <c r="M8" s="4">
        <v>42613</v>
      </c>
      <c r="N8" s="5">
        <v>16</v>
      </c>
      <c r="O8" s="5" t="str">
        <f>"001713"</f>
        <v>001713</v>
      </c>
      <c r="P8" s="4">
        <v>43242</v>
      </c>
      <c r="Q8" s="7">
        <v>10.491</v>
      </c>
      <c r="R8" s="7">
        <v>1.2274400000000001</v>
      </c>
      <c r="S8" s="7">
        <v>9.26356</v>
      </c>
      <c r="T8" s="5">
        <v>67</v>
      </c>
      <c r="U8" s="4">
        <v>43251</v>
      </c>
      <c r="V8" s="5">
        <v>9945533990</v>
      </c>
      <c r="W8" s="6" t="s">
        <v>170</v>
      </c>
      <c r="X8" s="5" t="s">
        <v>49</v>
      </c>
      <c r="Y8" s="6" t="s">
        <v>48</v>
      </c>
      <c r="Z8" s="5" t="s">
        <v>69</v>
      </c>
      <c r="AA8" s="6" t="s">
        <v>68</v>
      </c>
      <c r="AB8" s="7">
        <v>0.10491</v>
      </c>
      <c r="AD8" s="8"/>
      <c r="AF8" s="8"/>
      <c r="AG8" s="8"/>
    </row>
    <row r="9" spans="1:33" x14ac:dyDescent="0.2">
      <c r="A9" s="12">
        <v>1566</v>
      </c>
      <c r="B9" s="13" t="s">
        <v>34</v>
      </c>
      <c r="C9" s="13">
        <v>43251</v>
      </c>
      <c r="D9" s="5">
        <v>135</v>
      </c>
      <c r="E9" s="6" t="s">
        <v>73</v>
      </c>
      <c r="F9" s="5" t="s">
        <v>172</v>
      </c>
      <c r="G9" s="6" t="s">
        <v>171</v>
      </c>
      <c r="H9" s="5" t="str">
        <f>"000031"</f>
        <v>000031</v>
      </c>
      <c r="I9" s="4">
        <v>42543</v>
      </c>
      <c r="J9" s="5" t="str">
        <f>"000379"</f>
        <v>000379</v>
      </c>
      <c r="K9" s="4">
        <v>42613</v>
      </c>
      <c r="L9" s="5" t="str">
        <f>"000379"</f>
        <v>000379</v>
      </c>
      <c r="M9" s="4">
        <v>42613</v>
      </c>
      <c r="N9" s="5">
        <v>16</v>
      </c>
      <c r="O9" s="5" t="str">
        <f>"001714"</f>
        <v>001714</v>
      </c>
      <c r="P9" s="4">
        <v>43242</v>
      </c>
      <c r="Q9" s="7">
        <v>20.985309999999998</v>
      </c>
      <c r="R9" s="7">
        <v>2.6651099999999999</v>
      </c>
      <c r="S9" s="7">
        <v>18.3202</v>
      </c>
      <c r="T9" s="5">
        <v>67</v>
      </c>
      <c r="U9" s="4">
        <v>43251</v>
      </c>
      <c r="V9" s="5">
        <v>9945533990</v>
      </c>
      <c r="W9" s="6" t="s">
        <v>170</v>
      </c>
      <c r="X9" s="5" t="s">
        <v>49</v>
      </c>
      <c r="Y9" s="6" t="s">
        <v>48</v>
      </c>
      <c r="Z9" s="5" t="s">
        <v>69</v>
      </c>
      <c r="AA9" s="6" t="s">
        <v>68</v>
      </c>
      <c r="AB9" s="7">
        <v>0.20985309999999999</v>
      </c>
      <c r="AD9" s="8"/>
      <c r="AF9" s="8"/>
      <c r="AG9" s="8"/>
    </row>
    <row r="10" spans="1:33" x14ac:dyDescent="0.2">
      <c r="A10" s="12">
        <v>1567</v>
      </c>
      <c r="B10" s="13" t="s">
        <v>34</v>
      </c>
      <c r="C10" s="13">
        <v>43251</v>
      </c>
      <c r="D10" s="5">
        <v>135</v>
      </c>
      <c r="E10" s="6" t="s">
        <v>73</v>
      </c>
      <c r="F10" s="5" t="s">
        <v>169</v>
      </c>
      <c r="G10" s="6" t="s">
        <v>168</v>
      </c>
      <c r="H10" s="5" t="str">
        <f>"000028"</f>
        <v>000028</v>
      </c>
      <c r="I10" s="4">
        <v>42908</v>
      </c>
      <c r="J10" s="5" t="str">
        <f>"000380"</f>
        <v>000380</v>
      </c>
      <c r="K10" s="4">
        <v>42613</v>
      </c>
      <c r="L10" s="5" t="str">
        <f>"000380"</f>
        <v>000380</v>
      </c>
      <c r="M10" s="4">
        <v>42613</v>
      </c>
      <c r="N10" s="5">
        <v>16</v>
      </c>
      <c r="O10" s="5" t="str">
        <f>"001715"</f>
        <v>001715</v>
      </c>
      <c r="P10" s="4">
        <v>43242</v>
      </c>
      <c r="Q10" s="7">
        <v>16.793099999999999</v>
      </c>
      <c r="R10" s="7">
        <v>2.04874</v>
      </c>
      <c r="S10" s="7">
        <v>14.74436</v>
      </c>
      <c r="T10" s="5">
        <v>67</v>
      </c>
      <c r="U10" s="4">
        <v>43251</v>
      </c>
      <c r="V10" s="5">
        <v>9945533990</v>
      </c>
      <c r="W10" s="6" t="s">
        <v>95</v>
      </c>
      <c r="X10" s="5" t="s">
        <v>49</v>
      </c>
      <c r="Y10" s="6" t="s">
        <v>48</v>
      </c>
      <c r="Z10" s="5" t="s">
        <v>69</v>
      </c>
      <c r="AA10" s="6" t="s">
        <v>68</v>
      </c>
      <c r="AB10" s="7">
        <v>0.167931</v>
      </c>
      <c r="AD10" s="8"/>
      <c r="AF10" s="8"/>
      <c r="AG10" s="8"/>
    </row>
    <row r="11" spans="1:33" x14ac:dyDescent="0.2">
      <c r="A11" s="12">
        <v>1667</v>
      </c>
      <c r="B11" s="13" t="s">
        <v>47</v>
      </c>
      <c r="C11" s="13">
        <v>43252</v>
      </c>
      <c r="D11" s="5">
        <v>135</v>
      </c>
      <c r="E11" s="6" t="s">
        <v>73</v>
      </c>
      <c r="F11" s="5" t="s">
        <v>167</v>
      </c>
      <c r="G11" s="6" t="s">
        <v>166</v>
      </c>
      <c r="H11" s="5" t="str">
        <f>"000182"</f>
        <v>000182</v>
      </c>
      <c r="I11" s="4">
        <v>42802</v>
      </c>
      <c r="J11" s="5" t="str">
        <f>"000369"</f>
        <v>000369</v>
      </c>
      <c r="K11" s="4">
        <v>42886</v>
      </c>
      <c r="L11" s="5" t="str">
        <f>"000170"</f>
        <v>000170</v>
      </c>
      <c r="M11" s="4">
        <v>42886</v>
      </c>
      <c r="N11" s="5">
        <v>17</v>
      </c>
      <c r="O11" s="5" t="str">
        <f>"001935"</f>
        <v>001935</v>
      </c>
      <c r="P11" s="4">
        <v>43246</v>
      </c>
      <c r="Q11" s="7">
        <v>12.58198</v>
      </c>
      <c r="R11" s="7">
        <v>0.85557000000000005</v>
      </c>
      <c r="S11" s="7">
        <v>11.72641</v>
      </c>
      <c r="T11" s="5">
        <v>64</v>
      </c>
      <c r="U11" s="4">
        <v>43252</v>
      </c>
      <c r="V11" s="5">
        <v>9945533990</v>
      </c>
      <c r="W11" s="6" t="s">
        <v>95</v>
      </c>
      <c r="X11" s="5" t="s">
        <v>29</v>
      </c>
      <c r="Y11" s="6" t="s">
        <v>30</v>
      </c>
      <c r="Z11" s="5" t="s">
        <v>69</v>
      </c>
      <c r="AA11" s="6" t="s">
        <v>68</v>
      </c>
      <c r="AB11" s="7">
        <v>0.12581980000000001</v>
      </c>
      <c r="AD11" s="8"/>
      <c r="AF11" s="8"/>
      <c r="AG11" s="8"/>
    </row>
    <row r="12" spans="1:33" x14ac:dyDescent="0.2">
      <c r="A12" s="12">
        <v>1668</v>
      </c>
      <c r="B12" s="13" t="s">
        <v>47</v>
      </c>
      <c r="C12" s="13">
        <v>43252</v>
      </c>
      <c r="D12" s="5">
        <v>135</v>
      </c>
      <c r="E12" s="6" t="s">
        <v>73</v>
      </c>
      <c r="F12" s="5" t="s">
        <v>165</v>
      </c>
      <c r="G12" s="6" t="s">
        <v>164</v>
      </c>
      <c r="H12" s="5" t="str">
        <f>"000171"</f>
        <v>000171</v>
      </c>
      <c r="I12" s="4">
        <v>42802</v>
      </c>
      <c r="J12" s="5" t="str">
        <f>"000372"</f>
        <v>000372</v>
      </c>
      <c r="K12" s="4">
        <v>42886</v>
      </c>
      <c r="L12" s="5" t="str">
        <f>"000171"</f>
        <v>000171</v>
      </c>
      <c r="M12" s="4">
        <v>42886</v>
      </c>
      <c r="N12" s="5">
        <v>17</v>
      </c>
      <c r="O12" s="5" t="str">
        <f>"001938"</f>
        <v>001938</v>
      </c>
      <c r="P12" s="4">
        <v>43246</v>
      </c>
      <c r="Q12" s="7">
        <v>12.57131</v>
      </c>
      <c r="R12" s="7">
        <v>0.84226999999999996</v>
      </c>
      <c r="S12" s="7">
        <v>11.729039999999999</v>
      </c>
      <c r="T12" s="5">
        <v>64</v>
      </c>
      <c r="U12" s="4">
        <v>43252</v>
      </c>
      <c r="V12" s="5">
        <v>9945533990</v>
      </c>
      <c r="W12" s="6" t="s">
        <v>95</v>
      </c>
      <c r="X12" s="5" t="s">
        <v>29</v>
      </c>
      <c r="Y12" s="6" t="s">
        <v>30</v>
      </c>
      <c r="Z12" s="5" t="s">
        <v>69</v>
      </c>
      <c r="AA12" s="6" t="s">
        <v>68</v>
      </c>
      <c r="AB12" s="7">
        <v>0.12571309999999999</v>
      </c>
      <c r="AD12" s="8"/>
      <c r="AF12" s="8"/>
      <c r="AG12" s="8"/>
    </row>
    <row r="13" spans="1:33" x14ac:dyDescent="0.2">
      <c r="A13" s="12">
        <v>1872</v>
      </c>
      <c r="B13" s="13" t="s">
        <v>47</v>
      </c>
      <c r="C13" s="13">
        <v>43257</v>
      </c>
      <c r="D13" s="5">
        <v>135</v>
      </c>
      <c r="E13" s="6" t="s">
        <v>73</v>
      </c>
      <c r="F13" s="5" t="s">
        <v>163</v>
      </c>
      <c r="G13" s="6" t="s">
        <v>162</v>
      </c>
      <c r="H13" s="5" t="str">
        <f>"000093"</f>
        <v>000093</v>
      </c>
      <c r="I13" s="4">
        <v>43218</v>
      </c>
      <c r="J13" s="5" t="str">
        <f>"000033"</f>
        <v>000033</v>
      </c>
      <c r="K13" s="4">
        <v>43218</v>
      </c>
      <c r="L13" s="5" t="str">
        <f>"000094"</f>
        <v>000094</v>
      </c>
      <c r="M13" s="4">
        <v>43218</v>
      </c>
      <c r="N13" s="5">
        <v>18</v>
      </c>
      <c r="O13" s="5" t="str">
        <f>"002023"</f>
        <v>002023</v>
      </c>
      <c r="P13" s="4">
        <v>43248</v>
      </c>
      <c r="Q13" s="7">
        <v>14.915889999999999</v>
      </c>
      <c r="R13" s="7">
        <v>0.43314000000000002</v>
      </c>
      <c r="S13" s="7">
        <v>14.482749999999999</v>
      </c>
      <c r="T13" s="5">
        <v>72</v>
      </c>
      <c r="U13" s="4">
        <v>43257</v>
      </c>
      <c r="V13" s="5">
        <v>9845883436</v>
      </c>
      <c r="W13" s="6" t="s">
        <v>161</v>
      </c>
      <c r="X13" s="5" t="s">
        <v>55</v>
      </c>
      <c r="Y13" s="6" t="s">
        <v>54</v>
      </c>
      <c r="Z13" s="5" t="s">
        <v>69</v>
      </c>
      <c r="AA13" s="6" t="s">
        <v>68</v>
      </c>
      <c r="AB13" s="7">
        <v>0.14915889999999998</v>
      </c>
      <c r="AD13" s="8"/>
      <c r="AF13" s="8"/>
      <c r="AG13" s="8"/>
    </row>
    <row r="14" spans="1:33" x14ac:dyDescent="0.2">
      <c r="A14" s="12">
        <v>1873</v>
      </c>
      <c r="B14" s="13" t="s">
        <v>47</v>
      </c>
      <c r="C14" s="13">
        <v>43257</v>
      </c>
      <c r="D14" s="5">
        <v>135</v>
      </c>
      <c r="E14" s="6" t="s">
        <v>73</v>
      </c>
      <c r="F14" s="5" t="s">
        <v>160</v>
      </c>
      <c r="G14" s="6" t="s">
        <v>159</v>
      </c>
      <c r="H14" s="5" t="str">
        <f>"000001"</f>
        <v>000001</v>
      </c>
      <c r="I14" s="4">
        <v>43200</v>
      </c>
      <c r="J14" s="5" t="str">
        <f>"000002"</f>
        <v>000002</v>
      </c>
      <c r="K14" s="4">
        <v>43200</v>
      </c>
      <c r="L14" s="5" t="str">
        <f>"000001"</f>
        <v>000001</v>
      </c>
      <c r="M14" s="4">
        <v>43200</v>
      </c>
      <c r="N14" s="5">
        <v>17</v>
      </c>
      <c r="O14" s="5" t="str">
        <f>"002027"</f>
        <v>002027</v>
      </c>
      <c r="P14" s="4">
        <v>43248</v>
      </c>
      <c r="Q14" s="7">
        <v>99.998800000000003</v>
      </c>
      <c r="R14" s="7">
        <v>10.29988</v>
      </c>
      <c r="S14" s="7">
        <v>89.698920000000001</v>
      </c>
      <c r="T14" s="5">
        <v>72</v>
      </c>
      <c r="U14" s="4">
        <v>43257</v>
      </c>
      <c r="V14" s="5">
        <v>9916950205</v>
      </c>
      <c r="W14" s="6" t="s">
        <v>156</v>
      </c>
      <c r="X14" s="5" t="s">
        <v>36</v>
      </c>
      <c r="Y14" s="6" t="s">
        <v>37</v>
      </c>
      <c r="Z14" s="5" t="s">
        <v>69</v>
      </c>
      <c r="AA14" s="6" t="s">
        <v>68</v>
      </c>
      <c r="AB14" s="7">
        <v>0.99998799999999999</v>
      </c>
      <c r="AD14" s="8"/>
      <c r="AF14" s="8"/>
      <c r="AG14" s="8"/>
    </row>
    <row r="15" spans="1:33" x14ac:dyDescent="0.2">
      <c r="A15" s="12">
        <v>1874</v>
      </c>
      <c r="B15" s="13" t="s">
        <v>47</v>
      </c>
      <c r="C15" s="13">
        <v>43257</v>
      </c>
      <c r="D15" s="5">
        <v>135</v>
      </c>
      <c r="E15" s="6" t="s">
        <v>73</v>
      </c>
      <c r="F15" s="5" t="s">
        <v>158</v>
      </c>
      <c r="G15" s="6" t="s">
        <v>157</v>
      </c>
      <c r="H15" s="5" t="str">
        <f>"000002"</f>
        <v>000002</v>
      </c>
      <c r="I15" s="4">
        <v>43200</v>
      </c>
      <c r="J15" s="5" t="str">
        <f>"000001"</f>
        <v>000001</v>
      </c>
      <c r="K15" s="4">
        <v>43200</v>
      </c>
      <c r="L15" s="5" t="str">
        <f>"000002"</f>
        <v>000002</v>
      </c>
      <c r="M15" s="4">
        <v>43200</v>
      </c>
      <c r="N15" s="5">
        <v>17</v>
      </c>
      <c r="O15" s="5" t="str">
        <f>"002028"</f>
        <v>002028</v>
      </c>
      <c r="P15" s="4">
        <v>43248</v>
      </c>
      <c r="Q15" s="7">
        <v>99.998720000000006</v>
      </c>
      <c r="R15" s="7">
        <v>10.29987</v>
      </c>
      <c r="S15" s="7">
        <v>89.698849999999993</v>
      </c>
      <c r="T15" s="5">
        <v>72</v>
      </c>
      <c r="U15" s="4">
        <v>43257</v>
      </c>
      <c r="V15" s="5">
        <v>9916950205</v>
      </c>
      <c r="W15" s="6" t="s">
        <v>156</v>
      </c>
      <c r="X15" s="5" t="s">
        <v>36</v>
      </c>
      <c r="Y15" s="6" t="s">
        <v>37</v>
      </c>
      <c r="Z15" s="5" t="s">
        <v>69</v>
      </c>
      <c r="AA15" s="6" t="s">
        <v>68</v>
      </c>
      <c r="AB15" s="7">
        <v>0.99998720000000008</v>
      </c>
      <c r="AD15" s="8"/>
      <c r="AF15" s="8"/>
      <c r="AG15" s="8"/>
    </row>
    <row r="16" spans="1:33" x14ac:dyDescent="0.2">
      <c r="A16" s="12">
        <v>2717</v>
      </c>
      <c r="B16" s="13" t="s">
        <v>47</v>
      </c>
      <c r="C16" s="13">
        <v>43278</v>
      </c>
      <c r="D16" s="5">
        <v>135</v>
      </c>
      <c r="E16" s="6" t="s">
        <v>73</v>
      </c>
      <c r="F16" s="5" t="s">
        <v>155</v>
      </c>
      <c r="G16" s="6" t="s">
        <v>154</v>
      </c>
      <c r="H16" s="5" t="str">
        <f>"000262"</f>
        <v>000262</v>
      </c>
      <c r="I16" s="4">
        <v>42639</v>
      </c>
      <c r="J16" s="5" t="str">
        <f>"000200"</f>
        <v>000200</v>
      </c>
      <c r="K16" s="4">
        <v>42671</v>
      </c>
      <c r="L16" s="5" t="str">
        <f>"000577"</f>
        <v>000577</v>
      </c>
      <c r="M16" s="4">
        <v>42671</v>
      </c>
      <c r="N16" s="5">
        <v>15</v>
      </c>
      <c r="O16" s="5" t="str">
        <f>"002931"</f>
        <v>002931</v>
      </c>
      <c r="P16" s="4">
        <v>43276</v>
      </c>
      <c r="Q16" s="7">
        <v>9.9488800000000008</v>
      </c>
      <c r="R16" s="7">
        <v>1.2872600000000001</v>
      </c>
      <c r="S16" s="7">
        <v>8.6616199999999992</v>
      </c>
      <c r="T16" s="5">
        <v>103</v>
      </c>
      <c r="U16" s="4">
        <v>43278</v>
      </c>
      <c r="V16" s="5">
        <v>9972550216</v>
      </c>
      <c r="W16" s="6" t="s">
        <v>131</v>
      </c>
      <c r="X16" s="5" t="s">
        <v>61</v>
      </c>
      <c r="Y16" s="6" t="s">
        <v>60</v>
      </c>
      <c r="Z16" s="5" t="s">
        <v>69</v>
      </c>
      <c r="AA16" s="6" t="s">
        <v>68</v>
      </c>
      <c r="AB16" s="7">
        <v>9.9488800000000002E-2</v>
      </c>
      <c r="AD16" s="8"/>
      <c r="AF16" s="8"/>
      <c r="AG16" s="8"/>
    </row>
    <row r="17" spans="1:33" x14ac:dyDescent="0.2">
      <c r="A17" s="12">
        <v>2718</v>
      </c>
      <c r="B17" s="13" t="s">
        <v>47</v>
      </c>
      <c r="C17" s="13">
        <v>43278</v>
      </c>
      <c r="D17" s="5">
        <v>135</v>
      </c>
      <c r="E17" s="6" t="s">
        <v>73</v>
      </c>
      <c r="F17" s="5" t="s">
        <v>153</v>
      </c>
      <c r="G17" s="6" t="s">
        <v>152</v>
      </c>
      <c r="H17" s="5" t="str">
        <f>"000258"</f>
        <v>000258</v>
      </c>
      <c r="I17" s="4">
        <v>42826</v>
      </c>
      <c r="J17" s="5" t="str">
        <f>"000201"</f>
        <v>000201</v>
      </c>
      <c r="K17" s="4">
        <v>42671</v>
      </c>
      <c r="L17" s="5" t="str">
        <f>"000578"</f>
        <v>000578</v>
      </c>
      <c r="M17" s="4">
        <v>42671</v>
      </c>
      <c r="N17" s="5">
        <v>16</v>
      </c>
      <c r="O17" s="5" t="str">
        <f>"002932"</f>
        <v>002932</v>
      </c>
      <c r="P17" s="4">
        <v>43276</v>
      </c>
      <c r="Q17" s="7">
        <v>19.94951</v>
      </c>
      <c r="R17" s="7">
        <v>2.6762100000000002</v>
      </c>
      <c r="S17" s="7">
        <v>17.273299999999999</v>
      </c>
      <c r="T17" s="5">
        <v>103</v>
      </c>
      <c r="U17" s="4">
        <v>43278</v>
      </c>
      <c r="V17" s="5">
        <v>9972550216</v>
      </c>
      <c r="W17" s="6" t="s">
        <v>151</v>
      </c>
      <c r="X17" s="5" t="s">
        <v>59</v>
      </c>
      <c r="Y17" s="6" t="s">
        <v>58</v>
      </c>
      <c r="Z17" s="5" t="s">
        <v>69</v>
      </c>
      <c r="AA17" s="6" t="s">
        <v>68</v>
      </c>
      <c r="AB17" s="7">
        <v>0.19949510000000001</v>
      </c>
      <c r="AD17" s="8"/>
      <c r="AF17" s="8"/>
      <c r="AG17" s="8"/>
    </row>
    <row r="18" spans="1:33" x14ac:dyDescent="0.2">
      <c r="A18" s="12">
        <v>2719</v>
      </c>
      <c r="B18" s="13" t="s">
        <v>47</v>
      </c>
      <c r="C18" s="13">
        <v>43278</v>
      </c>
      <c r="D18" s="5">
        <v>135</v>
      </c>
      <c r="E18" s="6" t="s">
        <v>73</v>
      </c>
      <c r="F18" s="5" t="s">
        <v>150</v>
      </c>
      <c r="G18" s="6" t="s">
        <v>149</v>
      </c>
      <c r="H18" s="5" t="str">
        <f>"000260"</f>
        <v>000260</v>
      </c>
      <c r="I18" s="4">
        <v>42826</v>
      </c>
      <c r="J18" s="5" t="str">
        <f>"000202"</f>
        <v>000202</v>
      </c>
      <c r="K18" s="4">
        <v>42671</v>
      </c>
      <c r="L18" s="5" t="str">
        <f>"000579"</f>
        <v>000579</v>
      </c>
      <c r="M18" s="4">
        <v>42671</v>
      </c>
      <c r="N18" s="5">
        <v>16</v>
      </c>
      <c r="O18" s="5" t="str">
        <f>"002934"</f>
        <v>002934</v>
      </c>
      <c r="P18" s="4">
        <v>43276</v>
      </c>
      <c r="Q18" s="7">
        <v>19.940159999999999</v>
      </c>
      <c r="R18" s="7">
        <v>2.6769400000000001</v>
      </c>
      <c r="S18" s="7">
        <v>17.26322</v>
      </c>
      <c r="T18" s="5">
        <v>103</v>
      </c>
      <c r="U18" s="4">
        <v>43278</v>
      </c>
      <c r="V18" s="5">
        <v>9972550216</v>
      </c>
      <c r="W18" s="6" t="s">
        <v>148</v>
      </c>
      <c r="X18" s="5" t="s">
        <v>59</v>
      </c>
      <c r="Y18" s="6" t="s">
        <v>58</v>
      </c>
      <c r="Z18" s="5" t="s">
        <v>69</v>
      </c>
      <c r="AA18" s="6" t="s">
        <v>68</v>
      </c>
      <c r="AB18" s="7">
        <v>0.19940159999999998</v>
      </c>
      <c r="AD18" s="8"/>
      <c r="AF18" s="8"/>
      <c r="AG18" s="8"/>
    </row>
    <row r="19" spans="1:33" x14ac:dyDescent="0.2">
      <c r="A19" s="12">
        <v>2720</v>
      </c>
      <c r="B19" s="13" t="s">
        <v>47</v>
      </c>
      <c r="C19" s="13">
        <v>43278</v>
      </c>
      <c r="D19" s="5">
        <v>135</v>
      </c>
      <c r="E19" s="6" t="s">
        <v>73</v>
      </c>
      <c r="F19" s="5" t="s">
        <v>147</v>
      </c>
      <c r="G19" s="6" t="s">
        <v>146</v>
      </c>
      <c r="H19" s="5" t="str">
        <f>"000459"</f>
        <v>000459</v>
      </c>
      <c r="I19" s="4">
        <v>42639</v>
      </c>
      <c r="J19" s="5" t="str">
        <f>"000203"</f>
        <v>000203</v>
      </c>
      <c r="K19" s="4">
        <v>42671</v>
      </c>
      <c r="L19" s="5" t="str">
        <f>"000580"</f>
        <v>000580</v>
      </c>
      <c r="M19" s="4">
        <v>42671</v>
      </c>
      <c r="N19" s="5">
        <v>16</v>
      </c>
      <c r="O19" s="5" t="str">
        <f>"002935"</f>
        <v>002935</v>
      </c>
      <c r="P19" s="4">
        <v>43276</v>
      </c>
      <c r="Q19" s="7">
        <v>19.948619999999998</v>
      </c>
      <c r="R19" s="7">
        <v>2.6780900000000001</v>
      </c>
      <c r="S19" s="7">
        <v>17.270530000000001</v>
      </c>
      <c r="T19" s="5">
        <v>103</v>
      </c>
      <c r="U19" s="4">
        <v>43278</v>
      </c>
      <c r="V19" s="5">
        <v>9972550216</v>
      </c>
      <c r="W19" s="6" t="s">
        <v>145</v>
      </c>
      <c r="X19" s="5" t="s">
        <v>59</v>
      </c>
      <c r="Y19" s="6" t="s">
        <v>58</v>
      </c>
      <c r="Z19" s="5" t="s">
        <v>69</v>
      </c>
      <c r="AA19" s="6" t="s">
        <v>68</v>
      </c>
      <c r="AB19" s="7">
        <v>0.19948619999999997</v>
      </c>
      <c r="AD19" s="8"/>
      <c r="AF19" s="8"/>
      <c r="AG19" s="8"/>
    </row>
    <row r="20" spans="1:33" x14ac:dyDescent="0.2">
      <c r="A20" s="12">
        <v>2721</v>
      </c>
      <c r="B20" s="13" t="s">
        <v>47</v>
      </c>
      <c r="C20" s="13">
        <v>43278</v>
      </c>
      <c r="D20" s="5">
        <v>135</v>
      </c>
      <c r="E20" s="6" t="s">
        <v>73</v>
      </c>
      <c r="F20" s="5" t="s">
        <v>144</v>
      </c>
      <c r="G20" s="6" t="s">
        <v>143</v>
      </c>
      <c r="H20" s="5" t="str">
        <f>"000281"</f>
        <v>000281</v>
      </c>
      <c r="I20" s="4">
        <v>42648</v>
      </c>
      <c r="J20" s="5" t="str">
        <f>"000207"</f>
        <v>000207</v>
      </c>
      <c r="K20" s="4">
        <v>42670</v>
      </c>
      <c r="L20" s="5" t="str">
        <f>"000588"</f>
        <v>000588</v>
      </c>
      <c r="M20" s="4">
        <v>42671</v>
      </c>
      <c r="N20" s="5">
        <v>16</v>
      </c>
      <c r="O20" s="5" t="str">
        <f>"002937"</f>
        <v>002937</v>
      </c>
      <c r="P20" s="4">
        <v>43276</v>
      </c>
      <c r="Q20" s="7">
        <v>29.94774</v>
      </c>
      <c r="R20" s="7">
        <v>4.1627200000000002</v>
      </c>
      <c r="S20" s="7">
        <v>25.785019999999999</v>
      </c>
      <c r="T20" s="5">
        <v>103</v>
      </c>
      <c r="U20" s="4">
        <v>43278</v>
      </c>
      <c r="V20" s="5">
        <v>9972550216</v>
      </c>
      <c r="W20" s="6" t="s">
        <v>142</v>
      </c>
      <c r="X20" s="5" t="s">
        <v>59</v>
      </c>
      <c r="Y20" s="6" t="s">
        <v>58</v>
      </c>
      <c r="Z20" s="5" t="s">
        <v>69</v>
      </c>
      <c r="AA20" s="6" t="s">
        <v>68</v>
      </c>
      <c r="AB20" s="7">
        <v>0.2994774</v>
      </c>
      <c r="AD20" s="8"/>
      <c r="AF20" s="8"/>
      <c r="AG20" s="8"/>
    </row>
    <row r="21" spans="1:33" x14ac:dyDescent="0.2">
      <c r="A21" s="12">
        <v>3681</v>
      </c>
      <c r="B21" s="13" t="s">
        <v>31</v>
      </c>
      <c r="C21" s="13">
        <v>43300</v>
      </c>
      <c r="D21" s="5">
        <v>135</v>
      </c>
      <c r="E21" s="6" t="s">
        <v>73</v>
      </c>
      <c r="F21" s="5" t="s">
        <v>141</v>
      </c>
      <c r="G21" s="6" t="s">
        <v>140</v>
      </c>
      <c r="H21" s="5" t="str">
        <f>"000134"</f>
        <v>000134</v>
      </c>
      <c r="I21" s="4">
        <v>43280</v>
      </c>
      <c r="J21" s="5" t="str">
        <f>"000073"</f>
        <v>000073</v>
      </c>
      <c r="K21" s="4">
        <v>43281</v>
      </c>
      <c r="L21" s="5" t="str">
        <f>"000136"</f>
        <v>000136</v>
      </c>
      <c r="M21" s="4">
        <v>43281</v>
      </c>
      <c r="N21" s="5">
        <v>18</v>
      </c>
      <c r="O21" s="5" t="str">
        <f>"003776"</f>
        <v>003776</v>
      </c>
      <c r="P21" s="4">
        <v>43294</v>
      </c>
      <c r="Q21" s="7">
        <v>5.2341199999999999</v>
      </c>
      <c r="R21" s="7">
        <v>0.39778000000000002</v>
      </c>
      <c r="S21" s="7">
        <v>4.8363399999999999</v>
      </c>
      <c r="T21" s="5">
        <v>133</v>
      </c>
      <c r="U21" s="4">
        <v>43300</v>
      </c>
      <c r="V21" s="5">
        <v>9945533990</v>
      </c>
      <c r="W21" s="6" t="s">
        <v>139</v>
      </c>
      <c r="X21" s="5" t="s">
        <v>53</v>
      </c>
      <c r="Y21" s="6" t="s">
        <v>52</v>
      </c>
      <c r="Z21" s="5" t="s">
        <v>69</v>
      </c>
      <c r="AA21" s="6" t="s">
        <v>68</v>
      </c>
      <c r="AB21" s="7">
        <v>5.2341199999999997E-2</v>
      </c>
      <c r="AD21" s="8"/>
      <c r="AF21" s="8"/>
      <c r="AG21" s="8"/>
    </row>
    <row r="22" spans="1:33" x14ac:dyDescent="0.2">
      <c r="A22" s="12">
        <v>3682</v>
      </c>
      <c r="B22" s="13" t="s">
        <v>31</v>
      </c>
      <c r="C22" s="13">
        <v>43300</v>
      </c>
      <c r="D22" s="5">
        <v>135</v>
      </c>
      <c r="E22" s="6" t="s">
        <v>73</v>
      </c>
      <c r="F22" s="5" t="s">
        <v>138</v>
      </c>
      <c r="G22" s="6" t="s">
        <v>137</v>
      </c>
      <c r="H22" s="5" t="str">
        <f>"000131"</f>
        <v>000131</v>
      </c>
      <c r="I22" s="4">
        <v>43280</v>
      </c>
      <c r="J22" s="5" t="str">
        <f>"000071"</f>
        <v>000071</v>
      </c>
      <c r="K22" s="4">
        <v>43281</v>
      </c>
      <c r="L22" s="5" t="str">
        <f>"000137"</f>
        <v>000137</v>
      </c>
      <c r="M22" s="4">
        <v>43281</v>
      </c>
      <c r="N22" s="5">
        <v>18</v>
      </c>
      <c r="O22" s="5" t="str">
        <f>"003779"</f>
        <v>003779</v>
      </c>
      <c r="P22" s="4">
        <v>43294</v>
      </c>
      <c r="Q22" s="7">
        <v>15.74771</v>
      </c>
      <c r="R22" s="7">
        <v>1.37002</v>
      </c>
      <c r="S22" s="7">
        <v>14.377689999999999</v>
      </c>
      <c r="T22" s="5">
        <v>133</v>
      </c>
      <c r="U22" s="4">
        <v>43300</v>
      </c>
      <c r="V22" s="5">
        <v>9945533990</v>
      </c>
      <c r="W22" s="6" t="s">
        <v>134</v>
      </c>
      <c r="X22" s="5" t="s">
        <v>57</v>
      </c>
      <c r="Y22" s="6" t="s">
        <v>56</v>
      </c>
      <c r="Z22" s="5" t="s">
        <v>69</v>
      </c>
      <c r="AA22" s="6" t="s">
        <v>68</v>
      </c>
      <c r="AB22" s="7">
        <v>0.15747710000000001</v>
      </c>
      <c r="AD22" s="8"/>
      <c r="AF22" s="8"/>
      <c r="AG22" s="8"/>
    </row>
    <row r="23" spans="1:33" x14ac:dyDescent="0.2">
      <c r="A23" s="12">
        <v>3683</v>
      </c>
      <c r="B23" s="13" t="s">
        <v>31</v>
      </c>
      <c r="C23" s="13">
        <v>43300</v>
      </c>
      <c r="D23" s="5">
        <v>135</v>
      </c>
      <c r="E23" s="6" t="s">
        <v>73</v>
      </c>
      <c r="F23" s="5" t="s">
        <v>136</v>
      </c>
      <c r="G23" s="6" t="s">
        <v>135</v>
      </c>
      <c r="H23" s="5" t="str">
        <f>"000133"</f>
        <v>000133</v>
      </c>
      <c r="I23" s="4">
        <v>43280</v>
      </c>
      <c r="J23" s="5" t="str">
        <f>"000072"</f>
        <v>000072</v>
      </c>
      <c r="K23" s="4">
        <v>43281</v>
      </c>
      <c r="L23" s="5" t="str">
        <f>"000139"</f>
        <v>000139</v>
      </c>
      <c r="M23" s="4">
        <v>43281</v>
      </c>
      <c r="N23" s="5">
        <v>18</v>
      </c>
      <c r="O23" s="5" t="str">
        <f>"003781"</f>
        <v>003781</v>
      </c>
      <c r="P23" s="4">
        <v>43294</v>
      </c>
      <c r="Q23" s="7">
        <v>5.2458200000000001</v>
      </c>
      <c r="R23" s="7">
        <v>0.39865</v>
      </c>
      <c r="S23" s="7">
        <v>4.8471700000000002</v>
      </c>
      <c r="T23" s="5">
        <v>133</v>
      </c>
      <c r="U23" s="4">
        <v>43300</v>
      </c>
      <c r="V23" s="5">
        <v>9945533990</v>
      </c>
      <c r="W23" s="6" t="s">
        <v>134</v>
      </c>
      <c r="X23" s="5" t="s">
        <v>51</v>
      </c>
      <c r="Y23" s="6" t="s">
        <v>50</v>
      </c>
      <c r="Z23" s="5" t="s">
        <v>69</v>
      </c>
      <c r="AA23" s="6" t="s">
        <v>68</v>
      </c>
      <c r="AB23" s="7">
        <v>5.2458200000000003E-2</v>
      </c>
      <c r="AD23" s="8"/>
      <c r="AF23" s="8"/>
      <c r="AG23" s="8"/>
    </row>
    <row r="24" spans="1:33" x14ac:dyDescent="0.2">
      <c r="A24" s="12">
        <v>3938</v>
      </c>
      <c r="B24" s="13" t="s">
        <v>31</v>
      </c>
      <c r="C24" s="13">
        <v>43305</v>
      </c>
      <c r="D24" s="5">
        <v>135</v>
      </c>
      <c r="E24" s="6" t="s">
        <v>73</v>
      </c>
      <c r="F24" s="5" t="s">
        <v>133</v>
      </c>
      <c r="G24" s="6" t="s">
        <v>132</v>
      </c>
      <c r="H24" s="5" t="str">
        <f>"000261"</f>
        <v>000261</v>
      </c>
      <c r="I24" s="4">
        <v>42639</v>
      </c>
      <c r="J24" s="5" t="str">
        <f>"000215"</f>
        <v>000215</v>
      </c>
      <c r="K24" s="4">
        <v>42673</v>
      </c>
      <c r="L24" s="5" t="str">
        <f>"000681"</f>
        <v>000681</v>
      </c>
      <c r="M24" s="4">
        <v>42765</v>
      </c>
      <c r="N24" s="5">
        <v>16</v>
      </c>
      <c r="O24" s="5" t="str">
        <f>"004143"</f>
        <v>004143</v>
      </c>
      <c r="P24" s="4">
        <v>43301</v>
      </c>
      <c r="Q24" s="7">
        <v>9.9282199999999996</v>
      </c>
      <c r="R24" s="7">
        <v>1.2494000000000001</v>
      </c>
      <c r="S24" s="7">
        <v>8.67882</v>
      </c>
      <c r="T24" s="5">
        <v>139</v>
      </c>
      <c r="U24" s="4">
        <v>43305</v>
      </c>
      <c r="V24" s="5">
        <v>9972550216</v>
      </c>
      <c r="W24" s="6" t="s">
        <v>131</v>
      </c>
      <c r="X24" s="5" t="s">
        <v>59</v>
      </c>
      <c r="Y24" s="6" t="s">
        <v>58</v>
      </c>
      <c r="Z24" s="5" t="s">
        <v>69</v>
      </c>
      <c r="AA24" s="6" t="s">
        <v>68</v>
      </c>
      <c r="AB24" s="7">
        <v>9.9282200000000001E-2</v>
      </c>
      <c r="AD24" s="8"/>
      <c r="AF24" s="8"/>
      <c r="AG24" s="8"/>
    </row>
    <row r="25" spans="1:33" x14ac:dyDescent="0.2">
      <c r="A25" s="12">
        <v>4144</v>
      </c>
      <c r="B25" s="13" t="s">
        <v>31</v>
      </c>
      <c r="C25" s="13">
        <v>43308</v>
      </c>
      <c r="D25" s="5">
        <v>135</v>
      </c>
      <c r="E25" s="6" t="s">
        <v>73</v>
      </c>
      <c r="F25" s="5" t="s">
        <v>130</v>
      </c>
      <c r="G25" s="6" t="s">
        <v>129</v>
      </c>
      <c r="H25" s="5" t="str">
        <f>"000142"</f>
        <v>000142</v>
      </c>
      <c r="I25" s="4">
        <v>43280</v>
      </c>
      <c r="J25" s="5" t="str">
        <f>"000070"</f>
        <v>000070</v>
      </c>
      <c r="K25" s="4">
        <v>43281</v>
      </c>
      <c r="L25" s="5" t="str">
        <f>"000135"</f>
        <v>000135</v>
      </c>
      <c r="M25" s="4">
        <v>43281</v>
      </c>
      <c r="N25" s="5">
        <v>17</v>
      </c>
      <c r="O25" s="5" t="str">
        <f>"004410"</f>
        <v>004410</v>
      </c>
      <c r="P25" s="4">
        <v>43306</v>
      </c>
      <c r="Q25" s="7">
        <v>39.998849999999997</v>
      </c>
      <c r="R25" s="7">
        <v>3.8580700000000001</v>
      </c>
      <c r="S25" s="7">
        <v>36.140779999999999</v>
      </c>
      <c r="T25" s="5">
        <v>145</v>
      </c>
      <c r="U25" s="4">
        <v>43308</v>
      </c>
      <c r="V25" s="5">
        <v>9945533990</v>
      </c>
      <c r="W25" s="6" t="s">
        <v>67</v>
      </c>
      <c r="X25" s="5" t="s">
        <v>43</v>
      </c>
      <c r="Y25" s="6" t="s">
        <v>42</v>
      </c>
      <c r="Z25" s="5" t="s">
        <v>69</v>
      </c>
      <c r="AA25" s="6" t="s">
        <v>68</v>
      </c>
      <c r="AB25" s="7">
        <v>0.39998849999999997</v>
      </c>
      <c r="AD25" s="8"/>
      <c r="AF25" s="8"/>
      <c r="AG25" s="8"/>
    </row>
    <row r="26" spans="1:33" x14ac:dyDescent="0.2">
      <c r="A26" s="12">
        <v>4145</v>
      </c>
      <c r="B26" s="13" t="s">
        <v>31</v>
      </c>
      <c r="C26" s="13">
        <v>43308</v>
      </c>
      <c r="D26" s="5">
        <v>135</v>
      </c>
      <c r="E26" s="6" t="s">
        <v>73</v>
      </c>
      <c r="F26" s="5" t="s">
        <v>128</v>
      </c>
      <c r="G26" s="6" t="s">
        <v>127</v>
      </c>
      <c r="H26" s="5" t="str">
        <f>"000093"</f>
        <v>000093</v>
      </c>
      <c r="I26" s="4">
        <v>42889</v>
      </c>
      <c r="J26" s="5" t="str">
        <f>"000004"</f>
        <v>000004</v>
      </c>
      <c r="K26" s="4">
        <v>43196</v>
      </c>
      <c r="L26" s="5" t="str">
        <f>"000004"</f>
        <v>000004</v>
      </c>
      <c r="M26" s="4">
        <v>43196</v>
      </c>
      <c r="N26" s="5">
        <v>16</v>
      </c>
      <c r="O26" s="5" t="str">
        <f>"004384"</f>
        <v>004384</v>
      </c>
      <c r="P26" s="4">
        <v>43306</v>
      </c>
      <c r="Q26" s="7">
        <v>2.5182699999999998</v>
      </c>
      <c r="R26" s="7">
        <v>0.25434000000000001</v>
      </c>
      <c r="S26" s="7">
        <v>2.2639300000000002</v>
      </c>
      <c r="T26" s="5">
        <v>146</v>
      </c>
      <c r="U26" s="4">
        <v>43308</v>
      </c>
      <c r="V26" s="5">
        <v>9482221113</v>
      </c>
      <c r="W26" s="6" t="s">
        <v>126</v>
      </c>
      <c r="X26" s="5" t="s">
        <v>64</v>
      </c>
      <c r="Y26" s="6" t="s">
        <v>63</v>
      </c>
      <c r="Z26" s="5" t="s">
        <v>41</v>
      </c>
      <c r="AA26" s="6" t="s">
        <v>40</v>
      </c>
      <c r="AB26" s="7">
        <v>2.5182699999999999E-2</v>
      </c>
      <c r="AD26" s="8"/>
      <c r="AF26" s="8"/>
      <c r="AG26" s="8"/>
    </row>
    <row r="27" spans="1:33" x14ac:dyDescent="0.2">
      <c r="A27" s="12">
        <v>4146</v>
      </c>
      <c r="B27" s="13" t="s">
        <v>31</v>
      </c>
      <c r="C27" s="13">
        <v>43308</v>
      </c>
      <c r="D27" s="5">
        <v>135</v>
      </c>
      <c r="E27" s="6" t="s">
        <v>73</v>
      </c>
      <c r="F27" s="5" t="s">
        <v>125</v>
      </c>
      <c r="G27" s="6" t="s">
        <v>124</v>
      </c>
      <c r="H27" s="5" t="str">
        <f>"000009"</f>
        <v>000009</v>
      </c>
      <c r="I27" s="4">
        <v>42931</v>
      </c>
      <c r="J27" s="5" t="str">
        <f>"000014"</f>
        <v>000014</v>
      </c>
      <c r="K27" s="4">
        <v>43197</v>
      </c>
      <c r="L27" s="5" t="str">
        <f>"000012"</f>
        <v>000012</v>
      </c>
      <c r="M27" s="4">
        <v>43197</v>
      </c>
      <c r="N27" s="5">
        <v>16</v>
      </c>
      <c r="O27" s="5" t="str">
        <f>"004386"</f>
        <v>004386</v>
      </c>
      <c r="P27" s="4">
        <v>43306</v>
      </c>
      <c r="Q27" s="7">
        <v>12.983890000000001</v>
      </c>
      <c r="R27" s="7">
        <v>1.3113699999999999</v>
      </c>
      <c r="S27" s="7">
        <v>11.67252</v>
      </c>
      <c r="T27" s="5">
        <v>146</v>
      </c>
      <c r="U27" s="4">
        <v>43308</v>
      </c>
      <c r="V27" s="5">
        <v>9845351993</v>
      </c>
      <c r="W27" s="6" t="s">
        <v>62</v>
      </c>
      <c r="X27" s="5" t="s">
        <v>32</v>
      </c>
      <c r="Y27" s="6" t="s">
        <v>33</v>
      </c>
      <c r="Z27" s="5" t="s">
        <v>41</v>
      </c>
      <c r="AA27" s="6" t="s">
        <v>40</v>
      </c>
      <c r="AB27" s="7">
        <v>0.12983890000000001</v>
      </c>
      <c r="AD27" s="8"/>
      <c r="AF27" s="8"/>
      <c r="AG27" s="8"/>
    </row>
    <row r="28" spans="1:33" x14ac:dyDescent="0.2">
      <c r="A28" s="12">
        <v>4236</v>
      </c>
      <c r="B28" s="13" t="s">
        <v>28</v>
      </c>
      <c r="C28" s="13">
        <v>43314</v>
      </c>
      <c r="D28" s="5">
        <v>135</v>
      </c>
      <c r="E28" s="6" t="s">
        <v>73</v>
      </c>
      <c r="F28" s="5" t="s">
        <v>123</v>
      </c>
      <c r="G28" s="6" t="s">
        <v>122</v>
      </c>
      <c r="H28" s="5" t="str">
        <f>"000045"</f>
        <v>000045</v>
      </c>
      <c r="I28" s="4">
        <v>41204</v>
      </c>
      <c r="J28" s="5" t="str">
        <f>"000185"</f>
        <v>000185</v>
      </c>
      <c r="K28" s="4">
        <v>42609</v>
      </c>
      <c r="L28" s="5" t="str">
        <f>"000185"</f>
        <v>000185</v>
      </c>
      <c r="M28" s="4">
        <v>42364</v>
      </c>
      <c r="N28" s="5">
        <v>12</v>
      </c>
      <c r="O28" s="5" t="str">
        <f>"004476"</f>
        <v>004476</v>
      </c>
      <c r="P28" s="4">
        <v>43308</v>
      </c>
      <c r="Q28" s="7">
        <v>2.6092300000000002</v>
      </c>
      <c r="R28" s="7">
        <v>0.40353</v>
      </c>
      <c r="S28" s="7">
        <v>2.2057000000000002</v>
      </c>
      <c r="T28" s="5">
        <v>151</v>
      </c>
      <c r="U28" s="4">
        <v>43314</v>
      </c>
      <c r="V28" s="5">
        <v>9740248262</v>
      </c>
      <c r="W28" s="6" t="s">
        <v>121</v>
      </c>
      <c r="X28" s="5" t="s">
        <v>120</v>
      </c>
      <c r="Y28" s="6" t="s">
        <v>119</v>
      </c>
      <c r="Z28" s="5" t="s">
        <v>41</v>
      </c>
      <c r="AA28" s="6" t="s">
        <v>40</v>
      </c>
      <c r="AB28" s="7">
        <v>2.6092300000000002E-2</v>
      </c>
      <c r="AD28" s="8"/>
      <c r="AF28" s="8"/>
      <c r="AG28" s="8"/>
    </row>
    <row r="29" spans="1:33" x14ac:dyDescent="0.2">
      <c r="A29" s="12">
        <v>5298</v>
      </c>
      <c r="B29" s="13" t="s">
        <v>35</v>
      </c>
      <c r="C29" s="13">
        <v>43346</v>
      </c>
      <c r="D29" s="5">
        <v>135</v>
      </c>
      <c r="E29" s="6" t="s">
        <v>73</v>
      </c>
      <c r="F29" s="5" t="s">
        <v>118</v>
      </c>
      <c r="G29" s="6" t="s">
        <v>117</v>
      </c>
      <c r="H29" s="5" t="str">
        <f>"000497"</f>
        <v>000497</v>
      </c>
      <c r="I29" s="4">
        <v>42618</v>
      </c>
      <c r="J29" s="5" t="str">
        <f>"000359"</f>
        <v>000359</v>
      </c>
      <c r="K29" s="4">
        <v>42663</v>
      </c>
      <c r="L29" s="5" t="str">
        <f>"000756"</f>
        <v>000756</v>
      </c>
      <c r="M29" s="4">
        <v>42825</v>
      </c>
      <c r="N29" s="5">
        <v>16</v>
      </c>
      <c r="O29" s="5" t="str">
        <f>"005374"</f>
        <v>005374</v>
      </c>
      <c r="P29" s="4">
        <v>43335</v>
      </c>
      <c r="Q29" s="7">
        <v>9.98339</v>
      </c>
      <c r="R29" s="7">
        <v>1.2215199999999999</v>
      </c>
      <c r="S29" s="7">
        <v>8.76187</v>
      </c>
      <c r="T29" s="5">
        <v>193</v>
      </c>
      <c r="U29" s="4">
        <v>43346</v>
      </c>
      <c r="V29" s="5">
        <v>9945417770</v>
      </c>
      <c r="W29" s="6" t="s">
        <v>110</v>
      </c>
      <c r="X29" s="5" t="s">
        <v>29</v>
      </c>
      <c r="Y29" s="6" t="s">
        <v>30</v>
      </c>
      <c r="Z29" s="5" t="s">
        <v>69</v>
      </c>
      <c r="AA29" s="6" t="s">
        <v>68</v>
      </c>
      <c r="AB29" s="7">
        <f>Q29/100</f>
        <v>9.9833900000000003E-2</v>
      </c>
      <c r="AD29" s="8"/>
      <c r="AF29" s="8"/>
      <c r="AG29" s="8"/>
    </row>
    <row r="30" spans="1:33" x14ac:dyDescent="0.2">
      <c r="A30" s="12">
        <v>5299</v>
      </c>
      <c r="B30" s="13" t="s">
        <v>35</v>
      </c>
      <c r="C30" s="13">
        <v>43346</v>
      </c>
      <c r="D30" s="5">
        <v>135</v>
      </c>
      <c r="E30" s="6" t="s">
        <v>73</v>
      </c>
      <c r="F30" s="5" t="s">
        <v>116</v>
      </c>
      <c r="G30" s="6" t="s">
        <v>115</v>
      </c>
      <c r="H30" s="5" t="str">
        <f>"000498"</f>
        <v>000498</v>
      </c>
      <c r="I30" s="4">
        <v>42618</v>
      </c>
      <c r="J30" s="5" t="str">
        <f>"000532"</f>
        <v>000532</v>
      </c>
      <c r="K30" s="4">
        <v>42663</v>
      </c>
      <c r="L30" s="5" t="str">
        <f>"000757"</f>
        <v>000757</v>
      </c>
      <c r="M30" s="4">
        <v>42825</v>
      </c>
      <c r="N30" s="5">
        <v>16</v>
      </c>
      <c r="O30" s="5" t="str">
        <f>"005375"</f>
        <v>005375</v>
      </c>
      <c r="P30" s="4">
        <v>43335</v>
      </c>
      <c r="Q30" s="7">
        <v>9.9570500000000006</v>
      </c>
      <c r="R30" s="7">
        <v>1.22464</v>
      </c>
      <c r="S30" s="7">
        <v>8.7324099999999998</v>
      </c>
      <c r="T30" s="5">
        <v>193</v>
      </c>
      <c r="U30" s="4">
        <v>43346</v>
      </c>
      <c r="V30" s="5">
        <v>9945417770</v>
      </c>
      <c r="W30" s="6" t="s">
        <v>110</v>
      </c>
      <c r="X30" s="5" t="s">
        <v>29</v>
      </c>
      <c r="Y30" s="6" t="s">
        <v>30</v>
      </c>
      <c r="Z30" s="5" t="s">
        <v>69</v>
      </c>
      <c r="AA30" s="6" t="s">
        <v>68</v>
      </c>
      <c r="AB30" s="7">
        <f>Q30/100</f>
        <v>9.9570500000000006E-2</v>
      </c>
      <c r="AD30" s="8"/>
      <c r="AF30" s="8"/>
      <c r="AG30" s="8"/>
    </row>
    <row r="31" spans="1:33" x14ac:dyDescent="0.2">
      <c r="A31" s="12">
        <v>5300</v>
      </c>
      <c r="B31" s="13" t="s">
        <v>35</v>
      </c>
      <c r="C31" s="13">
        <v>43346</v>
      </c>
      <c r="D31" s="5">
        <v>135</v>
      </c>
      <c r="E31" s="6" t="s">
        <v>73</v>
      </c>
      <c r="F31" s="5" t="s">
        <v>114</v>
      </c>
      <c r="G31" s="6" t="s">
        <v>113</v>
      </c>
      <c r="H31" s="5" t="str">
        <f>"000449"</f>
        <v>000449</v>
      </c>
      <c r="I31" s="4">
        <v>42618</v>
      </c>
      <c r="J31" s="5" t="str">
        <f>"000397"</f>
        <v>000397</v>
      </c>
      <c r="K31" s="4">
        <v>42663</v>
      </c>
      <c r="L31" s="5" t="str">
        <f>"000759"</f>
        <v>000759</v>
      </c>
      <c r="M31" s="4">
        <v>42825</v>
      </c>
      <c r="N31" s="5">
        <v>16</v>
      </c>
      <c r="O31" s="5" t="str">
        <f>"005446"</f>
        <v>005446</v>
      </c>
      <c r="P31" s="4">
        <v>43340</v>
      </c>
      <c r="Q31" s="7">
        <v>12.953989999999999</v>
      </c>
      <c r="R31" s="7">
        <v>1.6338299999999999</v>
      </c>
      <c r="S31" s="7">
        <v>11.32016</v>
      </c>
      <c r="T31" s="5">
        <v>193</v>
      </c>
      <c r="U31" s="4">
        <v>43346</v>
      </c>
      <c r="V31" s="5">
        <v>9886873382</v>
      </c>
      <c r="W31" s="6" t="s">
        <v>107</v>
      </c>
      <c r="X31" s="5" t="s">
        <v>29</v>
      </c>
      <c r="Y31" s="6" t="s">
        <v>30</v>
      </c>
      <c r="Z31" s="5" t="s">
        <v>69</v>
      </c>
      <c r="AA31" s="6" t="s">
        <v>68</v>
      </c>
      <c r="AB31" s="7">
        <f>Q31/100</f>
        <v>0.12953989999999999</v>
      </c>
      <c r="AD31" s="8"/>
      <c r="AF31" s="8"/>
      <c r="AG31" s="8"/>
    </row>
    <row r="32" spans="1:33" x14ac:dyDescent="0.2">
      <c r="A32" s="12">
        <v>5301</v>
      </c>
      <c r="B32" s="13" t="s">
        <v>35</v>
      </c>
      <c r="C32" s="13">
        <v>43346</v>
      </c>
      <c r="D32" s="5">
        <v>135</v>
      </c>
      <c r="E32" s="6" t="s">
        <v>73</v>
      </c>
      <c r="F32" s="5" t="s">
        <v>112</v>
      </c>
      <c r="G32" s="6" t="s">
        <v>111</v>
      </c>
      <c r="H32" s="5" t="str">
        <f>"000495"</f>
        <v>000495</v>
      </c>
      <c r="I32" s="4">
        <v>42618</v>
      </c>
      <c r="J32" s="5" t="str">
        <f>"000531"</f>
        <v>000531</v>
      </c>
      <c r="K32" s="4">
        <v>42663</v>
      </c>
      <c r="L32" s="5" t="str">
        <f>"000760"</f>
        <v>000760</v>
      </c>
      <c r="M32" s="4">
        <v>42825</v>
      </c>
      <c r="N32" s="5">
        <v>16</v>
      </c>
      <c r="O32" s="5" t="str">
        <f>"005447"</f>
        <v>005447</v>
      </c>
      <c r="P32" s="4">
        <v>43340</v>
      </c>
      <c r="Q32" s="7">
        <v>19.274249999999999</v>
      </c>
      <c r="R32" s="7">
        <v>2.4133200000000001</v>
      </c>
      <c r="S32" s="7">
        <v>16.86093</v>
      </c>
      <c r="T32" s="5">
        <v>193</v>
      </c>
      <c r="U32" s="4">
        <v>43346</v>
      </c>
      <c r="V32" s="5">
        <v>9945417770</v>
      </c>
      <c r="W32" s="6" t="s">
        <v>110</v>
      </c>
      <c r="X32" s="5" t="s">
        <v>29</v>
      </c>
      <c r="Y32" s="6" t="s">
        <v>30</v>
      </c>
      <c r="Z32" s="5" t="s">
        <v>69</v>
      </c>
      <c r="AA32" s="6" t="s">
        <v>68</v>
      </c>
      <c r="AB32" s="7">
        <f>Q32/100</f>
        <v>0.19274249999999998</v>
      </c>
      <c r="AD32" s="8"/>
      <c r="AF32" s="8"/>
      <c r="AG32" s="8"/>
    </row>
    <row r="33" spans="1:33" x14ac:dyDescent="0.2">
      <c r="A33" s="12">
        <v>5302</v>
      </c>
      <c r="B33" s="13" t="s">
        <v>35</v>
      </c>
      <c r="C33" s="13">
        <v>43346</v>
      </c>
      <c r="D33" s="5">
        <v>135</v>
      </c>
      <c r="E33" s="6" t="s">
        <v>73</v>
      </c>
      <c r="F33" s="5" t="s">
        <v>109</v>
      </c>
      <c r="G33" s="6" t="s">
        <v>108</v>
      </c>
      <c r="H33" s="5" t="str">
        <f>"000052"</f>
        <v>000052</v>
      </c>
      <c r="I33" s="4">
        <v>42618</v>
      </c>
      <c r="J33" s="5" t="str">
        <f>"000352"</f>
        <v>000352</v>
      </c>
      <c r="K33" s="4">
        <v>42663</v>
      </c>
      <c r="L33" s="5" t="str">
        <f>"000762"</f>
        <v>000762</v>
      </c>
      <c r="M33" s="4">
        <v>42825</v>
      </c>
      <c r="N33" s="5">
        <v>16</v>
      </c>
      <c r="O33" s="5" t="str">
        <f>"005449"</f>
        <v>005449</v>
      </c>
      <c r="P33" s="4">
        <v>43340</v>
      </c>
      <c r="Q33" s="7">
        <v>10.95402</v>
      </c>
      <c r="R33" s="7">
        <v>1.39663</v>
      </c>
      <c r="S33" s="7">
        <v>9.5573899999999998</v>
      </c>
      <c r="T33" s="5">
        <v>193</v>
      </c>
      <c r="U33" s="4">
        <v>43346</v>
      </c>
      <c r="V33" s="5">
        <v>9886873382</v>
      </c>
      <c r="W33" s="6" t="s">
        <v>107</v>
      </c>
      <c r="X33" s="5" t="s">
        <v>29</v>
      </c>
      <c r="Y33" s="6" t="s">
        <v>30</v>
      </c>
      <c r="Z33" s="5" t="s">
        <v>69</v>
      </c>
      <c r="AA33" s="6" t="s">
        <v>68</v>
      </c>
      <c r="AB33" s="7">
        <f>Q33/100</f>
        <v>0.1095402</v>
      </c>
      <c r="AD33" s="8"/>
      <c r="AF33" s="8"/>
      <c r="AG33" s="8"/>
    </row>
    <row r="34" spans="1:33" x14ac:dyDescent="0.2">
      <c r="A34" s="12">
        <v>5303</v>
      </c>
      <c r="B34" s="13" t="s">
        <v>35</v>
      </c>
      <c r="C34" s="13">
        <v>43346</v>
      </c>
      <c r="D34" s="5">
        <v>135</v>
      </c>
      <c r="E34" s="6" t="s">
        <v>73</v>
      </c>
      <c r="F34" s="5" t="s">
        <v>106</v>
      </c>
      <c r="G34" s="6" t="s">
        <v>105</v>
      </c>
      <c r="H34" s="5" t="str">
        <f>"000140"</f>
        <v>000140</v>
      </c>
      <c r="I34" s="4">
        <v>42765</v>
      </c>
      <c r="J34" s="5" t="str">
        <f>"000763"</f>
        <v>000763</v>
      </c>
      <c r="K34" s="4">
        <v>42825</v>
      </c>
      <c r="L34" s="5" t="str">
        <f>"000763"</f>
        <v>000763</v>
      </c>
      <c r="M34" s="4">
        <v>42825</v>
      </c>
      <c r="N34" s="5">
        <v>17</v>
      </c>
      <c r="O34" s="5" t="str">
        <f>"005450"</f>
        <v>005450</v>
      </c>
      <c r="P34" s="4">
        <v>43340</v>
      </c>
      <c r="Q34" s="7">
        <v>19.908580000000001</v>
      </c>
      <c r="R34" s="7">
        <v>2.5283600000000002</v>
      </c>
      <c r="S34" s="7">
        <v>17.380220000000001</v>
      </c>
      <c r="T34" s="5">
        <v>193</v>
      </c>
      <c r="U34" s="4">
        <v>43346</v>
      </c>
      <c r="V34" s="5">
        <v>9945533990</v>
      </c>
      <c r="W34" s="6" t="s">
        <v>95</v>
      </c>
      <c r="X34" s="5" t="s">
        <v>29</v>
      </c>
      <c r="Y34" s="6" t="s">
        <v>30</v>
      </c>
      <c r="Z34" s="5" t="s">
        <v>69</v>
      </c>
      <c r="AA34" s="6" t="s">
        <v>68</v>
      </c>
      <c r="AB34" s="7">
        <f>Q34/100</f>
        <v>0.19908580000000001</v>
      </c>
      <c r="AD34" s="8"/>
      <c r="AF34" s="8"/>
      <c r="AG34" s="8"/>
    </row>
    <row r="35" spans="1:33" x14ac:dyDescent="0.2">
      <c r="A35" s="12">
        <v>5707</v>
      </c>
      <c r="B35" s="13" t="s">
        <v>35</v>
      </c>
      <c r="C35" s="13">
        <v>43370</v>
      </c>
      <c r="D35" s="5">
        <v>135</v>
      </c>
      <c r="E35" s="6" t="s">
        <v>73</v>
      </c>
      <c r="F35" s="5" t="s">
        <v>104</v>
      </c>
      <c r="G35" s="6" t="s">
        <v>103</v>
      </c>
      <c r="H35" s="5" t="str">
        <f>"000029"</f>
        <v>000029</v>
      </c>
      <c r="I35" s="4">
        <v>42956</v>
      </c>
      <c r="J35" s="5" t="str">
        <f>"000029"</f>
        <v>000029</v>
      </c>
      <c r="K35" s="4">
        <v>42983</v>
      </c>
      <c r="L35" s="5" t="str">
        <f>"000024"</f>
        <v>000024</v>
      </c>
      <c r="M35" s="4">
        <v>42983</v>
      </c>
      <c r="N35" s="5">
        <v>16</v>
      </c>
      <c r="O35" s="5" t="str">
        <f>"005828"</f>
        <v>005828</v>
      </c>
      <c r="P35" s="4">
        <v>43362</v>
      </c>
      <c r="Q35" s="7">
        <v>19.983650000000001</v>
      </c>
      <c r="R35" s="7">
        <v>2.6180300000000001</v>
      </c>
      <c r="S35" s="7">
        <v>17.36562</v>
      </c>
      <c r="T35" s="5">
        <v>219</v>
      </c>
      <c r="U35" s="4">
        <v>43370</v>
      </c>
      <c r="V35" s="5">
        <v>9900333498</v>
      </c>
      <c r="W35" s="6" t="s">
        <v>84</v>
      </c>
      <c r="X35" s="5" t="s">
        <v>49</v>
      </c>
      <c r="Y35" s="6" t="s">
        <v>48</v>
      </c>
      <c r="Z35" s="5" t="s">
        <v>41</v>
      </c>
      <c r="AA35" s="6" t="s">
        <v>40</v>
      </c>
      <c r="AB35" s="7">
        <f>Q35/100</f>
        <v>0.1998365</v>
      </c>
      <c r="AD35" s="8"/>
      <c r="AF35" s="8"/>
      <c r="AG35" s="8"/>
    </row>
    <row r="36" spans="1:33" x14ac:dyDescent="0.2">
      <c r="A36" s="12">
        <v>6200</v>
      </c>
      <c r="B36" s="13" t="s">
        <v>39</v>
      </c>
      <c r="C36" s="13">
        <v>43385</v>
      </c>
      <c r="D36" s="5">
        <v>135</v>
      </c>
      <c r="E36" s="6" t="s">
        <v>73</v>
      </c>
      <c r="F36" s="5" t="s">
        <v>102</v>
      </c>
      <c r="G36" s="6" t="s">
        <v>101</v>
      </c>
      <c r="H36" s="5" t="str">
        <f>"000397"</f>
        <v>000397</v>
      </c>
      <c r="I36" s="4">
        <v>42812</v>
      </c>
      <c r="J36" s="5" t="str">
        <f>"000389"</f>
        <v>000389</v>
      </c>
      <c r="K36" s="4">
        <v>42852</v>
      </c>
      <c r="L36" s="5" t="str">
        <f>"000066"</f>
        <v>000066</v>
      </c>
      <c r="M36" s="4">
        <v>42853</v>
      </c>
      <c r="N36" s="5">
        <v>17</v>
      </c>
      <c r="O36" s="5" t="str">
        <f>"006049"</f>
        <v>006049</v>
      </c>
      <c r="P36" s="4">
        <v>43374</v>
      </c>
      <c r="Q36" s="7">
        <v>20.97138</v>
      </c>
      <c r="R36" s="7">
        <v>2.8113000000000001</v>
      </c>
      <c r="S36" s="7">
        <v>18.160080000000001</v>
      </c>
      <c r="T36" s="5">
        <v>230</v>
      </c>
      <c r="U36" s="4">
        <v>43385</v>
      </c>
      <c r="V36" s="5">
        <v>9972550216</v>
      </c>
      <c r="W36" s="6" t="s">
        <v>100</v>
      </c>
      <c r="X36" s="5" t="s">
        <v>29</v>
      </c>
      <c r="Y36" s="6" t="s">
        <v>30</v>
      </c>
      <c r="Z36" s="5" t="s">
        <v>69</v>
      </c>
      <c r="AA36" s="6" t="s">
        <v>68</v>
      </c>
      <c r="AB36" s="7">
        <f>Q36/100</f>
        <v>0.20971380000000001</v>
      </c>
      <c r="AD36" s="8"/>
      <c r="AF36" s="8"/>
      <c r="AG36" s="8"/>
    </row>
    <row r="37" spans="1:33" x14ac:dyDescent="0.2">
      <c r="A37" s="12">
        <v>6592</v>
      </c>
      <c r="B37" s="13" t="s">
        <v>39</v>
      </c>
      <c r="C37" s="13">
        <v>43389</v>
      </c>
      <c r="D37" s="5">
        <v>135</v>
      </c>
      <c r="E37" s="6" t="s">
        <v>73</v>
      </c>
      <c r="F37" s="5" t="s">
        <v>99</v>
      </c>
      <c r="G37" s="6" t="s">
        <v>98</v>
      </c>
      <c r="H37" s="5" t="str">
        <f>"000141"</f>
        <v>000141</v>
      </c>
      <c r="I37" s="4">
        <v>43131</v>
      </c>
      <c r="J37" s="5" t="str">
        <f>"000057"</f>
        <v>000057</v>
      </c>
      <c r="K37" s="4">
        <v>43131</v>
      </c>
      <c r="L37" s="5" t="str">
        <f>"000136"</f>
        <v>000136</v>
      </c>
      <c r="M37" s="4">
        <v>43131</v>
      </c>
      <c r="N37" s="5">
        <v>18</v>
      </c>
      <c r="O37" s="5" t="str">
        <f>"006479"</f>
        <v>006479</v>
      </c>
      <c r="P37" s="4">
        <v>43383</v>
      </c>
      <c r="Q37" s="7">
        <v>15.744249999999999</v>
      </c>
      <c r="R37" s="7">
        <v>1.6846099999999999</v>
      </c>
      <c r="S37" s="7">
        <v>14.05964</v>
      </c>
      <c r="T37" s="5">
        <v>241</v>
      </c>
      <c r="U37" s="4">
        <v>43389</v>
      </c>
      <c r="V37" s="5">
        <v>9945533990</v>
      </c>
      <c r="W37" s="6" t="s">
        <v>74</v>
      </c>
      <c r="X37" s="5" t="s">
        <v>46</v>
      </c>
      <c r="Y37" s="6" t="s">
        <v>45</v>
      </c>
      <c r="Z37" s="5" t="s">
        <v>69</v>
      </c>
      <c r="AA37" s="6" t="s">
        <v>68</v>
      </c>
      <c r="AB37" s="7">
        <f>Q37/100</f>
        <v>0.15744249999999999</v>
      </c>
      <c r="AD37" s="8"/>
      <c r="AF37" s="8"/>
      <c r="AG37" s="8"/>
    </row>
    <row r="38" spans="1:33" x14ac:dyDescent="0.2">
      <c r="A38" s="12">
        <v>6593</v>
      </c>
      <c r="B38" s="13" t="s">
        <v>39</v>
      </c>
      <c r="C38" s="13">
        <v>43389</v>
      </c>
      <c r="D38" s="5">
        <v>135</v>
      </c>
      <c r="E38" s="6" t="s">
        <v>73</v>
      </c>
      <c r="F38" s="5" t="s">
        <v>97</v>
      </c>
      <c r="G38" s="6" t="s">
        <v>96</v>
      </c>
      <c r="H38" s="5" t="str">
        <f>"000142"</f>
        <v>000142</v>
      </c>
      <c r="I38" s="4">
        <v>43131</v>
      </c>
      <c r="J38" s="5" t="str">
        <f>"000058"</f>
        <v>000058</v>
      </c>
      <c r="K38" s="4">
        <v>43131</v>
      </c>
      <c r="L38" s="5" t="str">
        <f>"000141"</f>
        <v>000141</v>
      </c>
      <c r="M38" s="4">
        <v>43131</v>
      </c>
      <c r="N38" s="5">
        <v>17</v>
      </c>
      <c r="O38" s="5" t="str">
        <f>"006482"</f>
        <v>006482</v>
      </c>
      <c r="P38" s="4">
        <v>43383</v>
      </c>
      <c r="Q38" s="7">
        <v>20.98734</v>
      </c>
      <c r="R38" s="7">
        <v>2.2456200000000002</v>
      </c>
      <c r="S38" s="7">
        <v>18.741720000000001</v>
      </c>
      <c r="T38" s="5">
        <v>241</v>
      </c>
      <c r="U38" s="4">
        <v>43389</v>
      </c>
      <c r="V38" s="5">
        <v>9945533990</v>
      </c>
      <c r="W38" s="6" t="s">
        <v>95</v>
      </c>
      <c r="X38" s="5" t="s">
        <v>61</v>
      </c>
      <c r="Y38" s="6" t="s">
        <v>60</v>
      </c>
      <c r="Z38" s="5" t="s">
        <v>69</v>
      </c>
      <c r="AA38" s="6" t="s">
        <v>68</v>
      </c>
      <c r="AB38" s="7">
        <f>Q38/100</f>
        <v>0.20987339999999999</v>
      </c>
      <c r="AD38" s="8"/>
      <c r="AF38" s="8"/>
      <c r="AG38" s="8"/>
    </row>
    <row r="39" spans="1:33" x14ac:dyDescent="0.2">
      <c r="A39" s="12">
        <v>7020</v>
      </c>
      <c r="B39" s="13" t="s">
        <v>39</v>
      </c>
      <c r="C39" s="13">
        <v>43403</v>
      </c>
      <c r="D39" s="5">
        <v>135</v>
      </c>
      <c r="E39" s="6" t="s">
        <v>73</v>
      </c>
      <c r="F39" s="5" t="s">
        <v>94</v>
      </c>
      <c r="G39" s="6" t="s">
        <v>93</v>
      </c>
      <c r="H39" s="5" t="str">
        <f>"000266"</f>
        <v>000266</v>
      </c>
      <c r="I39" s="4">
        <v>42109</v>
      </c>
      <c r="J39" s="5" t="str">
        <f>"000225"</f>
        <v>000225</v>
      </c>
      <c r="K39" s="4">
        <v>42292</v>
      </c>
      <c r="L39" s="5" t="str">
        <f>"000426"</f>
        <v>000426</v>
      </c>
      <c r="M39" s="4">
        <v>42307</v>
      </c>
      <c r="N39" s="5">
        <v>15</v>
      </c>
      <c r="O39" s="5" t="str">
        <f>"006922"</f>
        <v>006922</v>
      </c>
      <c r="P39" s="4">
        <v>43398</v>
      </c>
      <c r="Q39" s="7">
        <v>5.7473900000000002</v>
      </c>
      <c r="R39" s="7">
        <v>0.72426000000000001</v>
      </c>
      <c r="S39" s="7">
        <v>5.0231300000000001</v>
      </c>
      <c r="T39" s="5">
        <v>254</v>
      </c>
      <c r="U39" s="4">
        <v>43403</v>
      </c>
      <c r="V39" s="5">
        <v>9739879821</v>
      </c>
      <c r="W39" s="6" t="s">
        <v>44</v>
      </c>
      <c r="X39" s="5" t="s">
        <v>29</v>
      </c>
      <c r="Y39" s="6" t="s">
        <v>30</v>
      </c>
      <c r="Z39" s="5" t="s">
        <v>69</v>
      </c>
      <c r="AA39" s="6" t="s">
        <v>68</v>
      </c>
      <c r="AB39" s="7">
        <f>Q39/100</f>
        <v>5.7473900000000001E-2</v>
      </c>
      <c r="AD39" s="8"/>
      <c r="AF39" s="8"/>
      <c r="AG39" s="8"/>
    </row>
    <row r="40" spans="1:33" x14ac:dyDescent="0.2">
      <c r="A40" s="12">
        <v>7770</v>
      </c>
      <c r="B40" s="13" t="s">
        <v>38</v>
      </c>
      <c r="C40" s="13">
        <v>43448</v>
      </c>
      <c r="D40" s="5">
        <v>135</v>
      </c>
      <c r="E40" s="6" t="s">
        <v>73</v>
      </c>
      <c r="F40" s="5" t="s">
        <v>92</v>
      </c>
      <c r="G40" s="6" t="s">
        <v>91</v>
      </c>
      <c r="H40" s="5" t="str">
        <f>"000139"</f>
        <v>000139</v>
      </c>
      <c r="I40" s="4">
        <v>41954</v>
      </c>
      <c r="J40" s="5" t="str">
        <f>"000139"</f>
        <v>000139</v>
      </c>
      <c r="K40" s="4">
        <v>42009</v>
      </c>
      <c r="L40" s="5" t="str">
        <f>"000181"</f>
        <v>000181</v>
      </c>
      <c r="M40" s="4">
        <v>42521</v>
      </c>
      <c r="N40" s="5">
        <v>13</v>
      </c>
      <c r="O40" s="5" t="str">
        <f>"007703"</f>
        <v>007703</v>
      </c>
      <c r="P40" s="4">
        <v>43441</v>
      </c>
      <c r="Q40" s="7">
        <v>9.4229699999999994</v>
      </c>
      <c r="R40" s="7">
        <v>1.34273</v>
      </c>
      <c r="S40" s="7">
        <v>8.0802399999999999</v>
      </c>
      <c r="T40" s="5">
        <v>291</v>
      </c>
      <c r="U40" s="4">
        <v>43448</v>
      </c>
      <c r="V40" s="5">
        <v>9886296777</v>
      </c>
      <c r="W40" s="6" t="s">
        <v>90</v>
      </c>
      <c r="X40" s="5" t="s">
        <v>29</v>
      </c>
      <c r="Y40" s="6" t="s">
        <v>30</v>
      </c>
      <c r="Z40" s="5" t="s">
        <v>69</v>
      </c>
      <c r="AA40" s="6" t="s">
        <v>68</v>
      </c>
      <c r="AB40" s="7">
        <f>Q40/100</f>
        <v>9.42297E-2</v>
      </c>
      <c r="AD40" s="8"/>
      <c r="AF40" s="8"/>
      <c r="AG40" s="8"/>
    </row>
    <row r="41" spans="1:33" x14ac:dyDescent="0.2">
      <c r="A41" s="12">
        <v>7771</v>
      </c>
      <c r="B41" s="13" t="s">
        <v>38</v>
      </c>
      <c r="C41" s="13">
        <v>43448</v>
      </c>
      <c r="D41" s="5">
        <v>135</v>
      </c>
      <c r="E41" s="6" t="s">
        <v>73</v>
      </c>
      <c r="F41" s="5" t="s">
        <v>89</v>
      </c>
      <c r="G41" s="6" t="s">
        <v>88</v>
      </c>
      <c r="H41" s="5" t="str">
        <f>"000329"</f>
        <v>000329</v>
      </c>
      <c r="I41" s="4">
        <v>42429</v>
      </c>
      <c r="J41" s="5" t="str">
        <f>"000293"</f>
        <v>000293</v>
      </c>
      <c r="K41" s="4">
        <v>42643</v>
      </c>
      <c r="L41" s="5" t="str">
        <f>"000584"</f>
        <v>000584</v>
      </c>
      <c r="M41" s="4">
        <v>42671</v>
      </c>
      <c r="N41" s="5">
        <v>16</v>
      </c>
      <c r="O41" s="5" t="str">
        <f>"007854"</f>
        <v>007854</v>
      </c>
      <c r="P41" s="4">
        <v>43444</v>
      </c>
      <c r="Q41" s="7">
        <v>7.8819999999999997</v>
      </c>
      <c r="R41" s="7">
        <v>0.97692000000000001</v>
      </c>
      <c r="S41" s="7">
        <v>6.9050799999999999</v>
      </c>
      <c r="T41" s="5">
        <v>291</v>
      </c>
      <c r="U41" s="4">
        <v>43448</v>
      </c>
      <c r="V41" s="5">
        <v>9886296777</v>
      </c>
      <c r="W41" s="6" t="s">
        <v>87</v>
      </c>
      <c r="X41" s="5" t="s">
        <v>29</v>
      </c>
      <c r="Y41" s="6" t="s">
        <v>30</v>
      </c>
      <c r="Z41" s="5" t="s">
        <v>69</v>
      </c>
      <c r="AA41" s="6" t="s">
        <v>68</v>
      </c>
      <c r="AB41" s="7">
        <f>Q41/100</f>
        <v>7.8820000000000001E-2</v>
      </c>
      <c r="AD41" s="8"/>
      <c r="AF41" s="8"/>
      <c r="AG41" s="8"/>
    </row>
    <row r="42" spans="1:33" x14ac:dyDescent="0.2">
      <c r="A42" s="12">
        <v>7772</v>
      </c>
      <c r="B42" s="13" t="s">
        <v>38</v>
      </c>
      <c r="C42" s="13">
        <v>43448</v>
      </c>
      <c r="D42" s="5">
        <v>135</v>
      </c>
      <c r="E42" s="6" t="s">
        <v>73</v>
      </c>
      <c r="F42" s="5" t="s">
        <v>86</v>
      </c>
      <c r="G42" s="6" t="s">
        <v>85</v>
      </c>
      <c r="H42" s="5" t="str">
        <f>"000005"</f>
        <v>000005</v>
      </c>
      <c r="I42" s="4">
        <v>42945</v>
      </c>
      <c r="J42" s="5" t="str">
        <f>"000047"</f>
        <v>000047</v>
      </c>
      <c r="K42" s="4">
        <v>43034</v>
      </c>
      <c r="L42" s="5" t="str">
        <f>"000076"</f>
        <v>000076</v>
      </c>
      <c r="M42" s="4">
        <v>43034</v>
      </c>
      <c r="N42" s="5">
        <v>17</v>
      </c>
      <c r="O42" s="5" t="str">
        <f>"007872"</f>
        <v>007872</v>
      </c>
      <c r="P42" s="4">
        <v>43445</v>
      </c>
      <c r="Q42" s="7">
        <v>23.997620000000001</v>
      </c>
      <c r="R42" s="7">
        <v>3.54575</v>
      </c>
      <c r="S42" s="7">
        <v>20.45187</v>
      </c>
      <c r="T42" s="5">
        <v>292</v>
      </c>
      <c r="U42" s="4">
        <v>43448</v>
      </c>
      <c r="V42" s="5">
        <v>9900333498</v>
      </c>
      <c r="W42" s="6" t="s">
        <v>84</v>
      </c>
      <c r="X42" s="5" t="s">
        <v>59</v>
      </c>
      <c r="Y42" s="6" t="s">
        <v>58</v>
      </c>
      <c r="Z42" s="5" t="s">
        <v>41</v>
      </c>
      <c r="AA42" s="6" t="s">
        <v>40</v>
      </c>
      <c r="AB42" s="7">
        <f>Q42/100</f>
        <v>0.2399762</v>
      </c>
      <c r="AD42" s="8"/>
      <c r="AF42" s="8"/>
      <c r="AG42" s="8"/>
    </row>
    <row r="43" spans="1:33" x14ac:dyDescent="0.2">
      <c r="A43" s="12">
        <v>8047</v>
      </c>
      <c r="B43" s="13" t="s">
        <v>38</v>
      </c>
      <c r="C43" s="13">
        <v>43455</v>
      </c>
      <c r="D43" s="5">
        <v>135</v>
      </c>
      <c r="E43" s="6" t="s">
        <v>73</v>
      </c>
      <c r="F43" s="5" t="s">
        <v>83</v>
      </c>
      <c r="G43" s="6" t="s">
        <v>82</v>
      </c>
      <c r="H43" s="5" t="str">
        <f>"000353"</f>
        <v>000353</v>
      </c>
      <c r="I43" s="4">
        <v>42802</v>
      </c>
      <c r="J43" s="5" t="str">
        <f>"000167"</f>
        <v>000167</v>
      </c>
      <c r="K43" s="4">
        <v>42885</v>
      </c>
      <c r="L43" s="5" t="str">
        <f>"000167"</f>
        <v>000167</v>
      </c>
      <c r="M43" s="4">
        <v>42886</v>
      </c>
      <c r="N43" s="5">
        <v>17</v>
      </c>
      <c r="O43" s="5" t="str">
        <f>"007781"</f>
        <v>007781</v>
      </c>
      <c r="P43" s="4">
        <v>43444</v>
      </c>
      <c r="Q43" s="7">
        <v>12.5586</v>
      </c>
      <c r="R43" s="7">
        <v>1.59491</v>
      </c>
      <c r="S43" s="7">
        <v>10.96369</v>
      </c>
      <c r="T43" s="5">
        <v>301</v>
      </c>
      <c r="U43" s="4">
        <v>43455</v>
      </c>
      <c r="V43" s="5">
        <v>9945533990</v>
      </c>
      <c r="W43" s="6" t="s">
        <v>77</v>
      </c>
      <c r="X43" s="5" t="s">
        <v>29</v>
      </c>
      <c r="Y43" s="6" t="s">
        <v>30</v>
      </c>
      <c r="Z43" s="5" t="s">
        <v>69</v>
      </c>
      <c r="AA43" s="6" t="s">
        <v>68</v>
      </c>
      <c r="AB43" s="7">
        <f>Q43/100</f>
        <v>0.125586</v>
      </c>
      <c r="AD43" s="8"/>
      <c r="AF43" s="8"/>
      <c r="AG43" s="8"/>
    </row>
    <row r="44" spans="1:33" x14ac:dyDescent="0.2">
      <c r="A44" s="12">
        <v>8048</v>
      </c>
      <c r="B44" s="13" t="s">
        <v>38</v>
      </c>
      <c r="C44" s="13">
        <v>43455</v>
      </c>
      <c r="D44" s="5">
        <v>135</v>
      </c>
      <c r="E44" s="6" t="s">
        <v>73</v>
      </c>
      <c r="F44" s="5" t="s">
        <v>81</v>
      </c>
      <c r="G44" s="6" t="s">
        <v>80</v>
      </c>
      <c r="H44" s="5" t="str">
        <f>"000163"</f>
        <v>000163</v>
      </c>
      <c r="I44" s="4">
        <v>42802</v>
      </c>
      <c r="J44" s="5" t="str">
        <f>"000370"</f>
        <v>000370</v>
      </c>
      <c r="K44" s="4">
        <v>42886</v>
      </c>
      <c r="L44" s="5" t="str">
        <f>"000168"</f>
        <v>000168</v>
      </c>
      <c r="M44" s="4">
        <v>42886</v>
      </c>
      <c r="N44" s="5">
        <v>17</v>
      </c>
      <c r="O44" s="5" t="str">
        <f>"007782"</f>
        <v>007782</v>
      </c>
      <c r="P44" s="4">
        <v>43444</v>
      </c>
      <c r="Q44" s="7">
        <v>10.488860000000001</v>
      </c>
      <c r="R44" s="7">
        <v>0.70272000000000001</v>
      </c>
      <c r="S44" s="7">
        <v>9.7861399999999996</v>
      </c>
      <c r="T44" s="5">
        <v>301</v>
      </c>
      <c r="U44" s="4">
        <v>43455</v>
      </c>
      <c r="V44" s="5">
        <v>9945533990</v>
      </c>
      <c r="W44" s="6" t="s">
        <v>74</v>
      </c>
      <c r="X44" s="5" t="s">
        <v>29</v>
      </c>
      <c r="Y44" s="6" t="s">
        <v>30</v>
      </c>
      <c r="Z44" s="5" t="s">
        <v>69</v>
      </c>
      <c r="AA44" s="6" t="s">
        <v>68</v>
      </c>
      <c r="AB44" s="7">
        <f>Q44/100</f>
        <v>0.10488860000000001</v>
      </c>
      <c r="AD44" s="8"/>
      <c r="AF44" s="8"/>
      <c r="AG44" s="8"/>
    </row>
    <row r="45" spans="1:33" x14ac:dyDescent="0.2">
      <c r="A45" s="12">
        <v>8049</v>
      </c>
      <c r="B45" s="13" t="s">
        <v>38</v>
      </c>
      <c r="C45" s="13">
        <v>43455</v>
      </c>
      <c r="D45" s="5">
        <v>135</v>
      </c>
      <c r="E45" s="6" t="s">
        <v>73</v>
      </c>
      <c r="F45" s="5" t="s">
        <v>79</v>
      </c>
      <c r="G45" s="6" t="s">
        <v>78</v>
      </c>
      <c r="H45" s="5" t="str">
        <f>"000412"</f>
        <v>000412</v>
      </c>
      <c r="I45" s="4">
        <v>42802</v>
      </c>
      <c r="J45" s="5" t="str">
        <f>"000469"</f>
        <v>000469</v>
      </c>
      <c r="K45" s="4">
        <v>42886</v>
      </c>
      <c r="L45" s="5" t="str">
        <f>"000169"</f>
        <v>000169</v>
      </c>
      <c r="M45" s="4">
        <v>42886</v>
      </c>
      <c r="N45" s="5">
        <v>17</v>
      </c>
      <c r="O45" s="5" t="str">
        <f>"007783"</f>
        <v>007783</v>
      </c>
      <c r="P45" s="4">
        <v>43444</v>
      </c>
      <c r="Q45" s="7">
        <v>10.46177</v>
      </c>
      <c r="R45" s="7">
        <v>1.224</v>
      </c>
      <c r="S45" s="7">
        <v>9.2377699999999994</v>
      </c>
      <c r="T45" s="5">
        <v>301</v>
      </c>
      <c r="U45" s="4">
        <v>43455</v>
      </c>
      <c r="V45" s="5">
        <v>9945533990</v>
      </c>
      <c r="W45" s="6" t="s">
        <v>77</v>
      </c>
      <c r="X45" s="5" t="s">
        <v>29</v>
      </c>
      <c r="Y45" s="6" t="s">
        <v>30</v>
      </c>
      <c r="Z45" s="5" t="s">
        <v>69</v>
      </c>
      <c r="AA45" s="6" t="s">
        <v>68</v>
      </c>
      <c r="AB45" s="7">
        <f>Q45/100</f>
        <v>0.10461769999999999</v>
      </c>
      <c r="AD45" s="8"/>
      <c r="AF45" s="8"/>
      <c r="AG45" s="8"/>
    </row>
    <row r="46" spans="1:33" x14ac:dyDescent="0.2">
      <c r="A46" s="12">
        <v>8050</v>
      </c>
      <c r="B46" s="13" t="s">
        <v>38</v>
      </c>
      <c r="C46" s="13">
        <v>43455</v>
      </c>
      <c r="D46" s="5">
        <v>135</v>
      </c>
      <c r="E46" s="6" t="s">
        <v>73</v>
      </c>
      <c r="F46" s="5" t="s">
        <v>76</v>
      </c>
      <c r="G46" s="6" t="s">
        <v>75</v>
      </c>
      <c r="H46" s="5" t="str">
        <f>"000180"</f>
        <v>000180</v>
      </c>
      <c r="I46" s="4">
        <v>42802</v>
      </c>
      <c r="J46" s="5" t="str">
        <f>"000172"</f>
        <v>000172</v>
      </c>
      <c r="K46" s="4">
        <v>42886</v>
      </c>
      <c r="L46" s="5" t="str">
        <f>"000172"</f>
        <v>000172</v>
      </c>
      <c r="M46" s="4">
        <v>42886</v>
      </c>
      <c r="N46" s="5">
        <v>17</v>
      </c>
      <c r="O46" s="5" t="str">
        <f>"007784"</f>
        <v>007784</v>
      </c>
      <c r="P46" s="4">
        <v>43444</v>
      </c>
      <c r="Q46" s="7">
        <v>12.55</v>
      </c>
      <c r="R46" s="7">
        <v>0.84084999999999999</v>
      </c>
      <c r="S46" s="7">
        <v>11.709149999999999</v>
      </c>
      <c r="T46" s="5">
        <v>301</v>
      </c>
      <c r="U46" s="4">
        <v>43455</v>
      </c>
      <c r="V46" s="5">
        <v>9945533990</v>
      </c>
      <c r="W46" s="6" t="s">
        <v>74</v>
      </c>
      <c r="X46" s="5" t="s">
        <v>29</v>
      </c>
      <c r="Y46" s="6" t="s">
        <v>30</v>
      </c>
      <c r="Z46" s="5" t="s">
        <v>69</v>
      </c>
      <c r="AA46" s="6" t="s">
        <v>68</v>
      </c>
      <c r="AB46" s="7">
        <f>Q46/100</f>
        <v>0.1255</v>
      </c>
      <c r="AD46" s="8"/>
      <c r="AF46" s="8"/>
      <c r="AG46" s="8"/>
    </row>
    <row r="47" spans="1:33" x14ac:dyDescent="0.2">
      <c r="A47" s="12">
        <v>8051</v>
      </c>
      <c r="B47" s="13" t="s">
        <v>38</v>
      </c>
      <c r="C47" s="13">
        <v>43455</v>
      </c>
      <c r="D47" s="5">
        <v>135</v>
      </c>
      <c r="E47" s="6" t="s">
        <v>73</v>
      </c>
      <c r="F47" s="5" t="s">
        <v>72</v>
      </c>
      <c r="G47" s="6" t="s">
        <v>71</v>
      </c>
      <c r="H47" s="5" t="str">
        <f>"000414"</f>
        <v>000414</v>
      </c>
      <c r="I47" s="4">
        <v>42802</v>
      </c>
      <c r="J47" s="5" t="str">
        <f>"000473"</f>
        <v>000473</v>
      </c>
      <c r="K47" s="4">
        <v>42886</v>
      </c>
      <c r="L47" s="5" t="str">
        <f>"000173"</f>
        <v>000173</v>
      </c>
      <c r="M47" s="4">
        <v>42886</v>
      </c>
      <c r="N47" s="5">
        <v>17</v>
      </c>
      <c r="O47" s="5" t="str">
        <f>"007785"</f>
        <v>007785</v>
      </c>
      <c r="P47" s="4">
        <v>43444</v>
      </c>
      <c r="Q47" s="7">
        <v>12.53121</v>
      </c>
      <c r="R47" s="7">
        <v>1.4661299999999999</v>
      </c>
      <c r="S47" s="7">
        <v>11.06508</v>
      </c>
      <c r="T47" s="5">
        <v>301</v>
      </c>
      <c r="U47" s="4">
        <v>43455</v>
      </c>
      <c r="V47" s="5">
        <v>9945533990</v>
      </c>
      <c r="W47" s="6" t="s">
        <v>70</v>
      </c>
      <c r="X47" s="5" t="s">
        <v>29</v>
      </c>
      <c r="Y47" s="6" t="s">
        <v>30</v>
      </c>
      <c r="Z47" s="5" t="s">
        <v>69</v>
      </c>
      <c r="AA47" s="6" t="s">
        <v>68</v>
      </c>
      <c r="AB47" s="7">
        <f>Q47/100</f>
        <v>0.12531210000000001</v>
      </c>
      <c r="AD47" s="8"/>
      <c r="AF47" s="8"/>
      <c r="AG4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2019-01-17T07:52:02Z</dcterms:modified>
</cp:coreProperties>
</file>