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904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J2" i="1"/>
  <c r="L2" i="1"/>
  <c r="O2" i="1"/>
  <c r="H3" i="1"/>
  <c r="J3" i="1"/>
  <c r="L3" i="1"/>
  <c r="O3" i="1"/>
  <c r="H4" i="1"/>
  <c r="J4" i="1"/>
  <c r="L4" i="1"/>
  <c r="O4" i="1"/>
  <c r="H5" i="1"/>
  <c r="J5" i="1"/>
  <c r="L5" i="1"/>
  <c r="O5" i="1"/>
  <c r="H6" i="1"/>
  <c r="J6" i="1"/>
  <c r="L6" i="1"/>
  <c r="O6" i="1"/>
  <c r="H7" i="1"/>
  <c r="J7" i="1"/>
  <c r="L7" i="1"/>
  <c r="O7" i="1"/>
  <c r="H8" i="1"/>
  <c r="J8" i="1"/>
  <c r="L8" i="1"/>
  <c r="O8" i="1"/>
  <c r="H9" i="1"/>
  <c r="J9" i="1"/>
  <c r="L9" i="1"/>
  <c r="O9" i="1"/>
  <c r="H10" i="1"/>
  <c r="J10" i="1"/>
  <c r="L10" i="1"/>
  <c r="O10" i="1"/>
  <c r="H11" i="1"/>
  <c r="J11" i="1"/>
  <c r="L11" i="1"/>
  <c r="O11" i="1"/>
  <c r="H12" i="1"/>
  <c r="J12" i="1"/>
  <c r="L12" i="1"/>
  <c r="O12" i="1"/>
  <c r="H13" i="1"/>
  <c r="J13" i="1"/>
  <c r="L13" i="1"/>
  <c r="O13" i="1"/>
  <c r="H14" i="1"/>
  <c r="J14" i="1"/>
  <c r="L14" i="1"/>
  <c r="O14" i="1"/>
  <c r="H15" i="1"/>
  <c r="J15" i="1"/>
  <c r="L15" i="1"/>
  <c r="O15" i="1"/>
  <c r="H16" i="1"/>
  <c r="J16" i="1"/>
  <c r="L16" i="1"/>
  <c r="O16" i="1"/>
  <c r="H17" i="1"/>
  <c r="J17" i="1"/>
  <c r="L17" i="1"/>
  <c r="O17" i="1"/>
  <c r="H18" i="1"/>
  <c r="J18" i="1"/>
  <c r="L18" i="1"/>
  <c r="O18" i="1"/>
  <c r="H19" i="1"/>
  <c r="J19" i="1"/>
  <c r="L19" i="1"/>
  <c r="O19" i="1"/>
  <c r="H20" i="1"/>
  <c r="J20" i="1"/>
  <c r="L20" i="1"/>
  <c r="O20" i="1"/>
  <c r="H21" i="1"/>
  <c r="J21" i="1"/>
  <c r="L21" i="1"/>
  <c r="O21" i="1"/>
  <c r="H22" i="1"/>
  <c r="J22" i="1"/>
  <c r="L22" i="1"/>
  <c r="O22" i="1"/>
  <c r="H23" i="1"/>
  <c r="J23" i="1"/>
  <c r="L23" i="1"/>
  <c r="O23" i="1"/>
  <c r="H24" i="1"/>
  <c r="J24" i="1"/>
  <c r="L24" i="1"/>
  <c r="O24" i="1"/>
  <c r="H25" i="1"/>
  <c r="J25" i="1"/>
  <c r="L25" i="1"/>
  <c r="O25" i="1"/>
  <c r="H26" i="1"/>
  <c r="J26" i="1"/>
  <c r="L26" i="1"/>
  <c r="O26" i="1"/>
  <c r="H27" i="1"/>
  <c r="J27" i="1"/>
  <c r="L27" i="1"/>
  <c r="O27" i="1"/>
  <c r="H28" i="1"/>
  <c r="J28" i="1"/>
  <c r="L28" i="1"/>
  <c r="O28" i="1"/>
  <c r="H29" i="1"/>
  <c r="J29" i="1"/>
  <c r="L29" i="1"/>
  <c r="O29" i="1"/>
  <c r="H30" i="1"/>
  <c r="J30" i="1"/>
  <c r="L30" i="1"/>
  <c r="O30" i="1"/>
  <c r="H31" i="1"/>
  <c r="J31" i="1"/>
  <c r="L31" i="1"/>
  <c r="O31" i="1"/>
  <c r="H32" i="1"/>
  <c r="J32" i="1"/>
  <c r="L32" i="1"/>
  <c r="O32" i="1"/>
  <c r="H33" i="1"/>
  <c r="J33" i="1"/>
  <c r="L33" i="1"/>
  <c r="O33" i="1"/>
  <c r="H34" i="1"/>
  <c r="J34" i="1"/>
  <c r="L34" i="1"/>
  <c r="O34" i="1"/>
  <c r="H35" i="1"/>
  <c r="J35" i="1"/>
  <c r="L35" i="1"/>
  <c r="O35" i="1"/>
  <c r="H36" i="1"/>
  <c r="J36" i="1"/>
  <c r="L36" i="1"/>
  <c r="O36" i="1"/>
  <c r="H37" i="1"/>
  <c r="J37" i="1"/>
  <c r="L37" i="1"/>
  <c r="O37" i="1"/>
  <c r="H38" i="1"/>
  <c r="J38" i="1"/>
  <c r="L38" i="1"/>
  <c r="O38" i="1"/>
  <c r="H39" i="1"/>
  <c r="J39" i="1"/>
  <c r="L39" i="1"/>
  <c r="O39" i="1"/>
  <c r="H40" i="1"/>
  <c r="J40" i="1"/>
  <c r="L40" i="1"/>
  <c r="O40" i="1"/>
  <c r="H41" i="1"/>
  <c r="J41" i="1"/>
  <c r="L41" i="1"/>
  <c r="O41" i="1"/>
  <c r="H42" i="1"/>
  <c r="J42" i="1"/>
  <c r="L42" i="1"/>
  <c r="O42" i="1"/>
  <c r="AB42" i="1"/>
  <c r="H43" i="1"/>
  <c r="J43" i="1"/>
  <c r="L43" i="1"/>
  <c r="O43" i="1"/>
  <c r="AB43" i="1"/>
  <c r="H44" i="1"/>
  <c r="J44" i="1"/>
  <c r="L44" i="1"/>
  <c r="O44" i="1"/>
  <c r="AB44" i="1"/>
  <c r="H45" i="1"/>
  <c r="J45" i="1"/>
  <c r="L45" i="1"/>
  <c r="O45" i="1"/>
  <c r="AB45" i="1"/>
  <c r="H46" i="1"/>
  <c r="J46" i="1"/>
  <c r="L46" i="1"/>
  <c r="O46" i="1"/>
  <c r="AB46" i="1"/>
  <c r="H47" i="1"/>
  <c r="J47" i="1"/>
  <c r="L47" i="1"/>
  <c r="O47" i="1"/>
  <c r="AB47" i="1"/>
  <c r="H48" i="1"/>
  <c r="J48" i="1"/>
  <c r="L48" i="1"/>
  <c r="O48" i="1"/>
  <c r="AB48" i="1"/>
  <c r="H49" i="1"/>
  <c r="J49" i="1"/>
  <c r="L49" i="1"/>
  <c r="O49" i="1"/>
  <c r="AB49" i="1"/>
  <c r="H50" i="1"/>
  <c r="J50" i="1"/>
  <c r="L50" i="1"/>
  <c r="O50" i="1"/>
  <c r="AB50" i="1"/>
  <c r="H51" i="1"/>
  <c r="J51" i="1"/>
  <c r="L51" i="1"/>
  <c r="O51" i="1"/>
  <c r="AB51" i="1"/>
  <c r="H52" i="1"/>
  <c r="J52" i="1"/>
  <c r="L52" i="1"/>
  <c r="O52" i="1"/>
  <c r="AB52" i="1"/>
  <c r="H53" i="1"/>
  <c r="J53" i="1"/>
  <c r="L53" i="1"/>
  <c r="O53" i="1"/>
  <c r="AB53" i="1"/>
  <c r="H54" i="1"/>
  <c r="J54" i="1"/>
  <c r="L54" i="1"/>
  <c r="O54" i="1"/>
  <c r="AB54" i="1"/>
  <c r="H55" i="1"/>
  <c r="J55" i="1"/>
  <c r="L55" i="1"/>
  <c r="O55" i="1"/>
  <c r="AB55" i="1"/>
  <c r="H56" i="1"/>
  <c r="J56" i="1"/>
  <c r="L56" i="1"/>
  <c r="O56" i="1"/>
  <c r="AB56" i="1"/>
  <c r="H57" i="1"/>
  <c r="J57" i="1"/>
  <c r="L57" i="1"/>
  <c r="O57" i="1"/>
  <c r="AB57" i="1"/>
  <c r="H58" i="1"/>
  <c r="J58" i="1"/>
  <c r="L58" i="1"/>
  <c r="O58" i="1"/>
  <c r="AB58" i="1"/>
  <c r="H59" i="1"/>
  <c r="J59" i="1"/>
  <c r="L59" i="1"/>
  <c r="O59" i="1"/>
  <c r="AB59" i="1"/>
  <c r="H60" i="1"/>
  <c r="J60" i="1"/>
  <c r="L60" i="1"/>
  <c r="O60" i="1"/>
  <c r="AB60" i="1"/>
  <c r="H61" i="1"/>
  <c r="J61" i="1"/>
  <c r="L61" i="1"/>
  <c r="O61" i="1"/>
  <c r="AB61" i="1"/>
  <c r="H62" i="1"/>
  <c r="J62" i="1"/>
  <c r="L62" i="1"/>
  <c r="O62" i="1"/>
  <c r="AB62" i="1"/>
  <c r="H63" i="1"/>
  <c r="J63" i="1"/>
  <c r="L63" i="1"/>
  <c r="O63" i="1"/>
  <c r="AB63" i="1"/>
  <c r="H64" i="1"/>
  <c r="J64" i="1"/>
  <c r="L64" i="1"/>
  <c r="O64" i="1"/>
  <c r="AB64" i="1"/>
  <c r="H65" i="1"/>
  <c r="J65" i="1"/>
  <c r="L65" i="1"/>
  <c r="O65" i="1"/>
  <c r="AB65" i="1"/>
  <c r="H66" i="1"/>
  <c r="J66" i="1"/>
  <c r="L66" i="1"/>
  <c r="O66" i="1"/>
  <c r="AB66" i="1"/>
  <c r="H67" i="1"/>
  <c r="J67" i="1"/>
  <c r="L67" i="1"/>
  <c r="O67" i="1"/>
  <c r="AB67" i="1"/>
</calcChain>
</file>

<file path=xl/sharedStrings.xml><?xml version="1.0" encoding="utf-8"?>
<sst xmlns="http://schemas.openxmlformats.org/spreadsheetml/2006/main" count="625" uniqueCount="235">
  <si>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</si>
  <si>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</si>
  <si>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</si>
  <si>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</si>
  <si>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</si>
  <si>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</si>
  <si>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</si>
  <si>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</si>
  <si>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</si>
  <si>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</si>
  <si>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</si>
  <si>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</si>
  <si>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</si>
  <si>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</si>
  <si>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</si>
  <si>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</si>
  <si>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</si>
  <si>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</si>
  <si>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</si>
  <si>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</si>
  <si>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</si>
  <si>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</si>
  <si>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</si>
  <si>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</si>
  <si>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</si>
  <si>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</si>
  <si>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</si>
  <si>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</si>
  <si>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</si>
  <si>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P3158</t>
  </si>
  <si>
    <t>SIP Infrastructure Project works</t>
  </si>
  <si>
    <t>August</t>
  </si>
  <si>
    <t>P1771</t>
  </si>
  <si>
    <t>Zone Works - POW Works</t>
  </si>
  <si>
    <t>July</t>
  </si>
  <si>
    <t>P0300</t>
  </si>
  <si>
    <t>M and R to Street Lights - Replacement of Burnt Bulbs etc. (Package)</t>
  </si>
  <si>
    <t>June</t>
  </si>
  <si>
    <t>May</t>
  </si>
  <si>
    <t>September</t>
  </si>
  <si>
    <t>P1802</t>
  </si>
  <si>
    <t>Water Supply New Areas</t>
  </si>
  <si>
    <t>P2654</t>
  </si>
  <si>
    <t>Special Package for 110 Villages (Rs. 1 Crore Per Village)</t>
  </si>
  <si>
    <t>P2415</t>
  </si>
  <si>
    <t>Reserve fund for TandF Committee</t>
  </si>
  <si>
    <t>P3111</t>
  </si>
  <si>
    <t>State Finance Commission Untied Grant Works</t>
  </si>
  <si>
    <t>P3110</t>
  </si>
  <si>
    <t>14th Finance Commission Grant Works</t>
  </si>
  <si>
    <t>KRIDL</t>
  </si>
  <si>
    <t>November</t>
  </si>
  <si>
    <t>December</t>
  </si>
  <si>
    <t>Special Development works in 7 CMC and 1 TMC area in BBMP</t>
  </si>
  <si>
    <t>P3089</t>
  </si>
  <si>
    <t>October</t>
  </si>
  <si>
    <t>18per - Works (Bhagyajyothi, Sooru / Neeru Yojane and General) (54 Lakhs / New Wards)</t>
  </si>
  <si>
    <t>P1878</t>
  </si>
  <si>
    <t>Works sanctioned by Hon Mayor</t>
  </si>
  <si>
    <t>P0190</t>
  </si>
  <si>
    <t>M and R to Electrical Inst in BMP Buildings, Schools, M.Homes, Community Halls, Markets and Others</t>
  </si>
  <si>
    <t>P0294</t>
  </si>
  <si>
    <t>M and R to Electrical Installations in Parks and Gardens, Playgrounds, Burial Grounds</t>
  </si>
  <si>
    <t>P0298</t>
  </si>
  <si>
    <t>G N Ramesh</t>
  </si>
  <si>
    <t xml:space="preserve"> Assistant Executive Engineer Electrical Dasarahalli Zone</t>
  </si>
  <si>
    <t>ddo466</t>
  </si>
  <si>
    <t>Maintenance and Management of Parks on Contract</t>
  </si>
  <si>
    <t>P0088</t>
  </si>
  <si>
    <t>THE TECHNICAL MANAGER-2(BBMP)KRIDL</t>
  </si>
  <si>
    <t>B.Mohan Kumar</t>
  </si>
  <si>
    <t xml:space="preserve"> Assistant Executive Engineer Dasarahalli SubDiv</t>
  </si>
  <si>
    <t>ddo023</t>
  </si>
  <si>
    <t>Krishnaswamy KM</t>
  </si>
  <si>
    <t>17-</t>
  </si>
  <si>
    <t>Supply of Drinking Water through tanker Bagalagunte ward No.14</t>
  </si>
  <si>
    <t>014-16-000018</t>
  </si>
  <si>
    <t>Bagalakunte</t>
  </si>
  <si>
    <t>Special Development works in ward No.124, 185, 98, 188, 10, 14, 16, 30, 28, 37, 42, 130, 159, 65, 66, 73, 79, 80, 90, 95, 94, 89, 108, 111, 115, 97, 105, 131, 133, 119, 125, 137, 143, 124, 158, 138, 83, 166, 182, 129, 165, 161, 04, 88, 27, 31, 32, 52, 44, 26, 07, 183, 178, 187 (Rs.100 lakhs per ward)</t>
  </si>
  <si>
    <t>P3173</t>
  </si>
  <si>
    <t>Jagadish K</t>
  </si>
  <si>
    <t>Improvements to drain at 7th main dead end (near HPS ) Bhuvaneswari Nagara Bagalagunte ward no 14</t>
  </si>
  <si>
    <t>014-17-000031</t>
  </si>
  <si>
    <t>Improvments to roads and drains at Sampangi ramaiah Layout in Ward -14  Bagalagunte</t>
  </si>
  <si>
    <t>014-15-000028</t>
  </si>
  <si>
    <t>Improvements and asphalthing 5th 6th 7th and 8th cross (Between 7th main and 8th main )Bhuvaneshwari nagara  in  Bagalagunte ward no 14 Dasarahalli Sub division</t>
  </si>
  <si>
    <t>014-17-000012</t>
  </si>
  <si>
    <t>Improvements to roads and drains at Vishveshwaraiah layout 10 th A cross 13th cross and other cross roads in  Bagalagunte ward no 14 Dasarahalli Sub division</t>
  </si>
  <si>
    <t>014-17-000021</t>
  </si>
  <si>
    <t>Improvements and asphalthing 1st 2nd 3rd and 4th cross (Between 7th main and 8th)Bhuvaneshwari nagara  in  Bagalagunte ward no 14 Dasarahalli Sub division</t>
  </si>
  <si>
    <t>014-17-000011</t>
  </si>
  <si>
    <t>Improvements to roads and drains at Munikondappa Layout and Muneshwara Nagara In Bagalagunte in Bagalagunte ward no 14 in Dasarahalli Sub division</t>
  </si>
  <si>
    <t>014-17-000019</t>
  </si>
  <si>
    <t>Improvements to cement concrete roads at Munikondappa layout and Muneshwara Nagara  in Bagalagunte ward no 14</t>
  </si>
  <si>
    <t>014-18-000026</t>
  </si>
  <si>
    <t>M and R to Pumpsets, Lifts, DG Sets, Wireless sets and Internal Telephone Exchange</t>
  </si>
  <si>
    <t>P0303</t>
  </si>
  <si>
    <t>M/s POWER MAC</t>
  </si>
  <si>
    <t>Maintenance and Repairs to DG set at Dasarahalli Zone.</t>
  </si>
  <si>
    <t>014-12-000053</t>
  </si>
  <si>
    <t>Improvements to drain at 1st main Havanoor Layout Bagalagunte ward no 14</t>
  </si>
  <si>
    <t>014-17-000028</t>
  </si>
  <si>
    <t>B Mohan Kumar</t>
  </si>
  <si>
    <t>Supply of water through water tanker in Bagalugunte ward no. 14</t>
  </si>
  <si>
    <t>014-15-000019</t>
  </si>
  <si>
    <t>Improvements and asphalthing to 10 th cross (between 8th main and pipe line road)Bhuvaneshwari nagara  in  Bagalagunte ward no 14 Dasarahalli Sub division</t>
  </si>
  <si>
    <t>014-17-000013</t>
  </si>
  <si>
    <t>Construction of Culverts at Soundarya Layout Vishveshwaraiah layout Manjunatha Nagara Defence colony and Vijaya Lakshmi layout Bagalagunte ward no 14</t>
  </si>
  <si>
    <t>014-17-000027</t>
  </si>
  <si>
    <t>Improvements to roads and drains at Difence colony in Bagalagunte ward no 14 in Dasarahalli Sub division</t>
  </si>
  <si>
    <t>014-17-000017</t>
  </si>
  <si>
    <t>Improvements to drain at 8th main Bhuvaneshwari nagara Bagalagunte ward no 14</t>
  </si>
  <si>
    <t>014-17-000029</t>
  </si>
  <si>
    <t>JAYAMMA.K</t>
  </si>
  <si>
    <t>Ward Maintenance in ward No. 14 6 am to 2 pm</t>
  </si>
  <si>
    <t>014-14-000026</t>
  </si>
  <si>
    <t>NITHIN R</t>
  </si>
  <si>
    <t>Improvements  to  roads and drains at Muneswara nagara and Ashok nagara ward no 14 Bagalagunte</t>
  </si>
  <si>
    <t>014-16-000037</t>
  </si>
  <si>
    <t>M R GIRISH GOWDA</t>
  </si>
  <si>
    <t>Improvements  to  roads and drains  at 10th cross and other cross roads at Manjunatha Nagara    ward no 14 Bagalagunte</t>
  </si>
  <si>
    <t>014-16-000034</t>
  </si>
  <si>
    <t>SREERAM REDDY</t>
  </si>
  <si>
    <t>Improvements to roads and drains at 4 th and 5th cross MHR layout in Bagalagunte ward no 14 Dasarahalli Sub division</t>
  </si>
  <si>
    <t>014-17-000026</t>
  </si>
  <si>
    <t>RAMESH GN</t>
  </si>
  <si>
    <t>Improvements  to main roads and cross roads at Manjunatha Nagara ward no 14 Bagalagunte</t>
  </si>
  <si>
    <t>014-16-000035</t>
  </si>
  <si>
    <t>Providing and fixing Street Name boards in Bagalagunte ward no 14</t>
  </si>
  <si>
    <t>014-18-000028</t>
  </si>
  <si>
    <t>Asphalting to MEI Layout 12th main road connecting to Maramma Temple and other cross roads in MEI layout ward no 14 Bagalagunte</t>
  </si>
  <si>
    <t>014-17-000004</t>
  </si>
  <si>
    <t>Asphalting Kirloskar Layout main road Bagalagunte in ward no 14</t>
  </si>
  <si>
    <t>014-17-000003</t>
  </si>
  <si>
    <t>M. KRISHNASWAMY</t>
  </si>
  <si>
    <t>Removal of Debris and Desilting of Drains in Bagalugunte Ward No. 14</t>
  </si>
  <si>
    <t>014-16-000016</t>
  </si>
  <si>
    <t>Krishnaswamy K M</t>
  </si>
  <si>
    <t>Repairs to Buildings at Dasarahalli subdivision in Ward No. 14</t>
  </si>
  <si>
    <t>014-16-000017</t>
  </si>
  <si>
    <t>JAYAMMA. K</t>
  </si>
  <si>
    <t>Ward Maintenance in ward No. 14,  2 pm to 10 pm</t>
  </si>
  <si>
    <t>014-14-000027</t>
  </si>
  <si>
    <t>M/S CHETHAN ELECTRICALS</t>
  </si>
  <si>
    <t>Repairs and replacement of damaged lighting systems in parks at dasarahalli zone</t>
  </si>
  <si>
    <t>014-16-000031</t>
  </si>
  <si>
    <t>Providing lighting system to Nelamaheshwaramma Temple park ward no 14</t>
  </si>
  <si>
    <t>014-15-000063</t>
  </si>
  <si>
    <t>Construction of DWCC Centre at Bagalagunte in ward no 14</t>
  </si>
  <si>
    <t>014-17-000061</t>
  </si>
  <si>
    <t>M/S Kusuma Electricals</t>
  </si>
  <si>
    <t>A</t>
  </si>
  <si>
    <t>Operation and Maintenance of stree light at Ward No.14Bagalugunte Package D-4</t>
  </si>
  <si>
    <t>014-16-000002</t>
  </si>
  <si>
    <t>M N RAMAIAH</t>
  </si>
  <si>
    <t>Remove of Debris and Disilting of Drains in Bagalagunte ward no 14 Dasarahalli Sub division</t>
  </si>
  <si>
    <t>014-17-000025</t>
  </si>
  <si>
    <t>M/S Chethan Electircals</t>
  </si>
  <si>
    <t>Maintenance to Electrical installation to BBMP buildings coming under Dasarahalli zone</t>
  </si>
  <si>
    <t>014-16-000030</t>
  </si>
  <si>
    <t>MANJUNATHA. N.C</t>
  </si>
  <si>
    <t>Improvements to Cross roads and drains at Arunodaya Hospital Mallasandra Opposite BBMP office in Bagalagunte Ward No.14</t>
  </si>
  <si>
    <t>014-16-000008</t>
  </si>
  <si>
    <t>R Nagraj</t>
  </si>
  <si>
    <t>Improvements to cross roads at Munikondappa layout Link road Shivappa Garden to Dodda Maranna Layout in Bagalagunte ward no. 14</t>
  </si>
  <si>
    <t>014-16-000009</t>
  </si>
  <si>
    <t>Manjula K</t>
  </si>
  <si>
    <t>Improvements to Roads and drains at 8th main and 3rd cross Bhuvaneswarinagara ward no. 14</t>
  </si>
  <si>
    <t>014-16-000012</t>
  </si>
  <si>
    <t>B T RAVIKUMAR</t>
  </si>
  <si>
    <t>Improvement to Road, Drain, Footpath 11th A cross Vishveshwaraiah layout in Bagalugunte ward no.14</t>
  </si>
  <si>
    <t>014-14-000011</t>
  </si>
  <si>
    <t>Improvement to Road, Drain, foothpath 12th, 19th and 20th cross Left side Bagalugunte Ward No.14</t>
  </si>
  <si>
    <t>014-14-000010</t>
  </si>
  <si>
    <t>Improvements to Road, Drain, Foot path BTS layout and Sheshadri layout in Bagalugunte ward no.14</t>
  </si>
  <si>
    <t>014-14-000017</t>
  </si>
  <si>
    <t>Improvements to roads at Widia School Compound road and C Narayana layout in Bagalagunte ward no 14</t>
  </si>
  <si>
    <t>014-18-000031</t>
  </si>
  <si>
    <t>Ward Maintenance Engagement of Gangmans and Hiring of Troctor Tippers and for maintenance of road side drains and other civil works in Bagalagunte in ward 14</t>
  </si>
  <si>
    <t>014-17-000062</t>
  </si>
  <si>
    <t>J.NAveen</t>
  </si>
  <si>
    <t>Providing CC Camera at Garbage Block Spots in ward no 14</t>
  </si>
  <si>
    <t>014-17-000064</t>
  </si>
  <si>
    <t>M/s Sri Sai Electricals</t>
  </si>
  <si>
    <t>Maintenance and Repairs to EPABX system and Public addressin system at Dasarahalli Zone</t>
  </si>
  <si>
    <t>014-13-000054</t>
  </si>
  <si>
    <t>Ramesh K S</t>
  </si>
  <si>
    <t>Construction of Public sitting platform at Bagalagunte (Near Maramma temple and Karekallu ) in Bagalagunte ward no 14 Dasarahalli Sub division</t>
  </si>
  <si>
    <t>014-17-000010</t>
  </si>
  <si>
    <t>Improvement to roads at Navy layout in ward no.14</t>
  </si>
  <si>
    <t>014-14-000051</t>
  </si>
  <si>
    <t>G.N RAMESH</t>
  </si>
  <si>
    <t>Improvements to Roads and drains at 11th cross Bhuvaneshwari Nagara in Bagalagunte in Ward No. 14</t>
  </si>
  <si>
    <t>014-16-000011</t>
  </si>
  <si>
    <t>Filling of pot holes in main and cross roads of Bagalugunte in Ward No. 14</t>
  </si>
  <si>
    <t>014-16-000006</t>
  </si>
  <si>
    <t>Providing connecting road to Navy Layout in Bagalagunte ward no 14 in T Dasarahalli Sub Division</t>
  </si>
  <si>
    <t>014-12-000073</t>
  </si>
  <si>
    <t>Improvements to drains at 6th and 7th main of Ramaiah Layout (Arround Park) (Opp. Pavagada Co.op.Bank) in Bagalagunte ward no 14</t>
  </si>
  <si>
    <t>014-18-000029</t>
  </si>
  <si>
    <t>Improvements to roads and drains at Rajareddy layout Soundarya School Opposite road in Bagalagunte ward no 14</t>
  </si>
  <si>
    <t>014-18-000027</t>
  </si>
  <si>
    <t>A Pradeep</t>
  </si>
  <si>
    <t>Improvement to roads and drains at 4th cross Vijayalakshmi Badavane in ward no. 14 Bagalugunte</t>
  </si>
  <si>
    <t>014-15-000009</t>
  </si>
  <si>
    <t>Construction of Anganavadi Building near Maheshwarama temple at Bhuvaneshwari Nagar in Bagalgunte ward No 14</t>
  </si>
  <si>
    <t>014-15-000033</t>
  </si>
  <si>
    <t xml:space="preserve"> Improvments to roads and drains near Byraveshwara circle Surrounding in Royal enclave and Meenakshi layout bagalagunte in Ward -14</t>
  </si>
  <si>
    <t>014-15-000025</t>
  </si>
  <si>
    <t>Improvments to roads and drains at MHR and Bhoomika Layout in Ward -14 Bagalagunte</t>
  </si>
  <si>
    <t>014-15-000023</t>
  </si>
  <si>
    <t>Improvements to roads and drains at 3rd main road and other cross Manjunatha Nagara in ward no 14 Bagalagunte</t>
  </si>
  <si>
    <t>014-18-000047</t>
  </si>
  <si>
    <t>Improvements to roads and drains at between 3rd main and 9th cross Manjunatha Nagara in ward no 14 Bagalagunte</t>
  </si>
  <si>
    <t>014-18-000050</t>
  </si>
  <si>
    <t>Improvements to roads and drains 2nd, 3rd, 4th and 5th cross Vinayaka nagara (karekallu) in ward no 14 Bagalagunte</t>
  </si>
  <si>
    <t>014-18-000042</t>
  </si>
  <si>
    <t>Improvements to roads and drains at between 6th main and 7th main cross roads 1st, 2nd cross aManjunatha Nagara in ward no 14 Bagalagunte</t>
  </si>
  <si>
    <t>014-18-000052</t>
  </si>
  <si>
    <t>Improvement and Asphalting Main road and cross roads at Bhuvaneshwari Nagara in Bagalugunte ward no.14</t>
  </si>
  <si>
    <t>014-14-000008</t>
  </si>
  <si>
    <t>Improvements to roads and drains at between 6th main and 7th main cross roads 3rd, 4th and 5th cross Manjunatha Nagara in ward no 14 Bagalagunte</t>
  </si>
  <si>
    <t>014-18-000053</t>
  </si>
  <si>
    <t>Improvements to drains at 1st A main R s defence colony in ward No 14 Bagalgunte</t>
  </si>
  <si>
    <t>014-15-000035</t>
  </si>
  <si>
    <t>Improvements to roads and drain at 4th, 5th, 6th, 7th, 8th, 10th and 11th cross left and right side, 8th main road Bhuvaneshwari nagara in ward no. 14 Bagalugunte</t>
  </si>
  <si>
    <t>014-15-000013</t>
  </si>
  <si>
    <t>N R Mahesh</t>
  </si>
  <si>
    <t>Improvement to roads at Vishveshwaraiah Layout in ward no. 14 Bagalugunte</t>
  </si>
  <si>
    <t>014-15-000010</t>
  </si>
  <si>
    <t>B N Mohan Kumar</t>
  </si>
  <si>
    <t>Improvements to roads at 15th, 16th, 17th and 18th cross roads MEI Layout in ward no. 14 Bagalugunte</t>
  </si>
  <si>
    <t>014-15-000015</t>
  </si>
  <si>
    <t xml:space="preserve">UGD Maintenance in Sidedahalli village Limit Bagalagunte ward no 14 T Dasarahalli Sub Division </t>
  </si>
  <si>
    <t>014-17-000039</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</si>
</sst>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7"/>
  <sheetViews>
    <sheetView tabSelected="1" workbookViewId="0">
      <selection activeCell="A2" sqref="A2:XFD67"/>
    </sheetView>
  </sheetViews>
  <sheetFormatPr defaultRowHeight="12.75" x14ac:dyDescent="0.2"/>
  <cols>
    <col min="1" max="1" width="5.42578125" style="9" bestFit="1" customWidth="1"/>
    <col min="2" max="2" width="9.140625" style="9"/>
    <col min="3" max="3" width="9.5703125" style="9" bestFit="1" customWidth="1"/>
    <col min="4" max="4" width="9.140625" style="9"/>
    <col min="5"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178</v>
      </c>
      <c r="B2" s="13" t="s">
        <v>28</v>
      </c>
      <c r="C2" s="13">
        <v>43195</v>
      </c>
      <c r="D2" s="5">
        <v>14</v>
      </c>
      <c r="E2" s="6" t="s">
        <v>77</v>
      </c>
      <c r="F2" s="5" t="s">
        <v>234</v>
      </c>
      <c r="G2" s="6" t="s">
        <v>233</v>
      </c>
      <c r="H2" s="5" t="str">
        <f>"000129"</f>
        <v>000129</v>
      </c>
      <c r="I2" s="4">
        <v>42907</v>
      </c>
      <c r="J2" s="5" t="str">
        <f>"000029"</f>
        <v>000029</v>
      </c>
      <c r="K2" s="4">
        <v>43159</v>
      </c>
      <c r="L2" s="5" t="str">
        <f>"000122"</f>
        <v>000122</v>
      </c>
      <c r="M2" s="4">
        <v>43172</v>
      </c>
      <c r="N2" s="5">
        <v>17</v>
      </c>
      <c r="O2" s="5" t="str">
        <f>"000205"</f>
        <v>000205</v>
      </c>
      <c r="P2" s="4">
        <v>43194</v>
      </c>
      <c r="Q2" s="7">
        <v>19.96632</v>
      </c>
      <c r="R2" s="7">
        <v>1.72644</v>
      </c>
      <c r="S2" s="7">
        <v>18.239879999999999</v>
      </c>
      <c r="T2" s="5">
        <v>6</v>
      </c>
      <c r="U2" s="4">
        <v>43195</v>
      </c>
      <c r="V2" s="5">
        <v>9449219009</v>
      </c>
      <c r="W2" s="6" t="s">
        <v>50</v>
      </c>
      <c r="X2" s="5" t="s">
        <v>29</v>
      </c>
      <c r="Y2" s="6" t="s">
        <v>30</v>
      </c>
      <c r="Z2" s="5" t="s">
        <v>72</v>
      </c>
      <c r="AA2" s="6" t="s">
        <v>71</v>
      </c>
      <c r="AB2" s="7">
        <v>0.19966319999999999</v>
      </c>
      <c r="AD2" s="8"/>
      <c r="AF2" s="8"/>
      <c r="AG2" s="8"/>
    </row>
    <row r="3" spans="1:33" x14ac:dyDescent="0.2">
      <c r="A3" s="12">
        <v>332</v>
      </c>
      <c r="B3" s="13" t="s">
        <v>28</v>
      </c>
      <c r="C3" s="13">
        <v>43200</v>
      </c>
      <c r="D3" s="5">
        <v>14</v>
      </c>
      <c r="E3" s="6" t="s">
        <v>77</v>
      </c>
      <c r="F3" s="5" t="s">
        <v>232</v>
      </c>
      <c r="G3" s="6" t="s">
        <v>231</v>
      </c>
      <c r="H3" s="5" t="str">
        <f>"000013"</f>
        <v>000013</v>
      </c>
      <c r="I3" s="4">
        <v>42109</v>
      </c>
      <c r="J3" s="5" t="str">
        <f>"000050"</f>
        <v>000050</v>
      </c>
      <c r="K3" s="4">
        <v>42546</v>
      </c>
      <c r="L3" s="5" t="str">
        <f>"000189"</f>
        <v>000189</v>
      </c>
      <c r="M3" s="4">
        <v>42551</v>
      </c>
      <c r="N3" s="5">
        <v>15</v>
      </c>
      <c r="O3" s="5" t="str">
        <f>"011008"</f>
        <v>011008</v>
      </c>
      <c r="P3" s="4">
        <v>43187</v>
      </c>
      <c r="Q3" s="7">
        <v>11.771280000000001</v>
      </c>
      <c r="R3" s="7">
        <v>0.89617000000000002</v>
      </c>
      <c r="S3" s="7">
        <v>10.875109999999999</v>
      </c>
      <c r="T3" s="5">
        <v>9</v>
      </c>
      <c r="U3" s="4">
        <v>43200</v>
      </c>
      <c r="V3" s="5">
        <v>9456123214</v>
      </c>
      <c r="W3" s="6" t="s">
        <v>230</v>
      </c>
      <c r="X3" s="5" t="s">
        <v>32</v>
      </c>
      <c r="Y3" s="6" t="s">
        <v>33</v>
      </c>
      <c r="Z3" s="5" t="s">
        <v>72</v>
      </c>
      <c r="AA3" s="6" t="s">
        <v>71</v>
      </c>
      <c r="AB3" s="7">
        <v>0.11771280000000001</v>
      </c>
      <c r="AD3" s="8"/>
      <c r="AF3" s="8"/>
      <c r="AG3" s="8"/>
    </row>
    <row r="4" spans="1:33" x14ac:dyDescent="0.2">
      <c r="A4" s="12">
        <v>333</v>
      </c>
      <c r="B4" s="13" t="s">
        <v>28</v>
      </c>
      <c r="C4" s="13">
        <v>43200</v>
      </c>
      <c r="D4" s="5">
        <v>14</v>
      </c>
      <c r="E4" s="6" t="s">
        <v>77</v>
      </c>
      <c r="F4" s="5" t="s">
        <v>229</v>
      </c>
      <c r="G4" s="6" t="s">
        <v>228</v>
      </c>
      <c r="H4" s="5" t="str">
        <f>"000011"</f>
        <v>000011</v>
      </c>
      <c r="I4" s="4">
        <v>42109</v>
      </c>
      <c r="J4" s="5" t="str">
        <f>"000048"</f>
        <v>000048</v>
      </c>
      <c r="K4" s="4">
        <v>42546</v>
      </c>
      <c r="L4" s="5" t="str">
        <f>"000190"</f>
        <v>000190</v>
      </c>
      <c r="M4" s="4">
        <v>42551</v>
      </c>
      <c r="N4" s="5">
        <v>15</v>
      </c>
      <c r="O4" s="5" t="str">
        <f>"011011"</f>
        <v>011011</v>
      </c>
      <c r="P4" s="4">
        <v>43187</v>
      </c>
      <c r="Q4" s="7">
        <v>17.653359999999999</v>
      </c>
      <c r="R4" s="7">
        <v>1.3274999999999999</v>
      </c>
      <c r="S4" s="7">
        <v>16.325859999999999</v>
      </c>
      <c r="T4" s="5">
        <v>9</v>
      </c>
      <c r="U4" s="4">
        <v>43200</v>
      </c>
      <c r="V4" s="5">
        <v>9888532456</v>
      </c>
      <c r="W4" s="6" t="s">
        <v>227</v>
      </c>
      <c r="X4" s="5" t="s">
        <v>32</v>
      </c>
      <c r="Y4" s="6" t="s">
        <v>33</v>
      </c>
      <c r="Z4" s="5" t="s">
        <v>72</v>
      </c>
      <c r="AA4" s="6" t="s">
        <v>71</v>
      </c>
      <c r="AB4" s="7">
        <v>0.17653359999999998</v>
      </c>
      <c r="AD4" s="8"/>
      <c r="AF4" s="8"/>
      <c r="AG4" s="8"/>
    </row>
    <row r="5" spans="1:33" x14ac:dyDescent="0.2">
      <c r="A5" s="12">
        <v>334</v>
      </c>
      <c r="B5" s="13" t="s">
        <v>28</v>
      </c>
      <c r="C5" s="13">
        <v>43200</v>
      </c>
      <c r="D5" s="5">
        <v>14</v>
      </c>
      <c r="E5" s="6" t="s">
        <v>77</v>
      </c>
      <c r="F5" s="5" t="s">
        <v>226</v>
      </c>
      <c r="G5" s="6" t="s">
        <v>225</v>
      </c>
      <c r="H5" s="5" t="str">
        <f>"000014"</f>
        <v>000014</v>
      </c>
      <c r="I5" s="4">
        <v>42109</v>
      </c>
      <c r="J5" s="5" t="str">
        <f>"000049"</f>
        <v>000049</v>
      </c>
      <c r="K5" s="4">
        <v>42546</v>
      </c>
      <c r="L5" s="5" t="str">
        <f>"000192"</f>
        <v>000192</v>
      </c>
      <c r="M5" s="4">
        <v>42551</v>
      </c>
      <c r="N5" s="5">
        <v>15</v>
      </c>
      <c r="O5" s="5" t="str">
        <f>"011012"</f>
        <v>011012</v>
      </c>
      <c r="P5" s="4">
        <v>43187</v>
      </c>
      <c r="Q5" s="7">
        <v>44.228589999999997</v>
      </c>
      <c r="R5" s="7">
        <v>3.29081</v>
      </c>
      <c r="S5" s="7">
        <v>40.937779999999997</v>
      </c>
      <c r="T5" s="5">
        <v>9</v>
      </c>
      <c r="U5" s="4">
        <v>43200</v>
      </c>
      <c r="V5" s="5">
        <v>9845654987</v>
      </c>
      <c r="W5" s="6" t="s">
        <v>202</v>
      </c>
      <c r="X5" s="5" t="s">
        <v>32</v>
      </c>
      <c r="Y5" s="6" t="s">
        <v>33</v>
      </c>
      <c r="Z5" s="5" t="s">
        <v>72</v>
      </c>
      <c r="AA5" s="6" t="s">
        <v>71</v>
      </c>
      <c r="AB5" s="7">
        <v>0.44228589999999995</v>
      </c>
      <c r="AD5" s="8"/>
      <c r="AF5" s="8"/>
      <c r="AG5" s="8"/>
    </row>
    <row r="6" spans="1:33" x14ac:dyDescent="0.2">
      <c r="A6" s="12">
        <v>335</v>
      </c>
      <c r="B6" s="13" t="s">
        <v>28</v>
      </c>
      <c r="C6" s="13">
        <v>43200</v>
      </c>
      <c r="D6" s="5">
        <v>14</v>
      </c>
      <c r="E6" s="6" t="s">
        <v>77</v>
      </c>
      <c r="F6" s="5" t="s">
        <v>224</v>
      </c>
      <c r="G6" s="6" t="s">
        <v>223</v>
      </c>
      <c r="H6" s="5" t="str">
        <f>"000244"</f>
        <v>000244</v>
      </c>
      <c r="I6" s="4">
        <v>42044</v>
      </c>
      <c r="J6" s="5" t="str">
        <f>"000069"</f>
        <v>000069</v>
      </c>
      <c r="K6" s="4">
        <v>42550</v>
      </c>
      <c r="L6" s="5" t="str">
        <f>""</f>
        <v/>
      </c>
      <c r="M6" s="4"/>
      <c r="N6" s="5">
        <v>15</v>
      </c>
      <c r="O6" s="5" t="str">
        <f>""</f>
        <v/>
      </c>
      <c r="P6" s="4"/>
      <c r="Q6" s="7">
        <v>3.9486400000000001</v>
      </c>
      <c r="R6" s="7">
        <v>0.51429000000000002</v>
      </c>
      <c r="S6" s="7">
        <v>3.4343499999999998</v>
      </c>
      <c r="T6" s="5">
        <v>9</v>
      </c>
      <c r="U6" s="4">
        <v>43200</v>
      </c>
      <c r="V6" s="5">
        <v>9889219009</v>
      </c>
      <c r="W6" s="6" t="s">
        <v>50</v>
      </c>
      <c r="X6" s="5" t="s">
        <v>32</v>
      </c>
      <c r="Y6" s="6" t="s">
        <v>33</v>
      </c>
      <c r="Z6" s="5" t="s">
        <v>72</v>
      </c>
      <c r="AA6" s="6" t="s">
        <v>71</v>
      </c>
      <c r="AB6" s="7">
        <v>3.9486400000000005E-2</v>
      </c>
      <c r="AD6" s="8"/>
      <c r="AF6" s="8"/>
      <c r="AG6" s="8"/>
    </row>
    <row r="7" spans="1:33" x14ac:dyDescent="0.2">
      <c r="A7" s="12">
        <v>565</v>
      </c>
      <c r="B7" s="13" t="s">
        <v>28</v>
      </c>
      <c r="C7" s="13">
        <v>43213</v>
      </c>
      <c r="D7" s="5">
        <v>14</v>
      </c>
      <c r="E7" s="6" t="s">
        <v>77</v>
      </c>
      <c r="F7" s="5" t="s">
        <v>222</v>
      </c>
      <c r="G7" s="6" t="s">
        <v>221</v>
      </c>
      <c r="H7" s="5" t="str">
        <f>"000089"</f>
        <v>000089</v>
      </c>
      <c r="I7" s="4">
        <v>43059</v>
      </c>
      <c r="J7" s="5" t="str">
        <f>"000001"</f>
        <v>000001</v>
      </c>
      <c r="K7" s="4">
        <v>43192</v>
      </c>
      <c r="L7" s="5" t="str">
        <f>"000001"</f>
        <v>000001</v>
      </c>
      <c r="M7" s="4">
        <v>43192</v>
      </c>
      <c r="N7" s="5">
        <v>18</v>
      </c>
      <c r="O7" s="5" t="str">
        <f>"000604"</f>
        <v>000604</v>
      </c>
      <c r="P7" s="4">
        <v>43207</v>
      </c>
      <c r="Q7" s="7">
        <v>49.980969999999999</v>
      </c>
      <c r="R7" s="7">
        <v>4.5701400000000003</v>
      </c>
      <c r="S7" s="7">
        <v>45.410829999999997</v>
      </c>
      <c r="T7" s="5">
        <v>21</v>
      </c>
      <c r="U7" s="4">
        <v>43213</v>
      </c>
      <c r="V7" s="5">
        <v>9449219009</v>
      </c>
      <c r="W7" s="6" t="s">
        <v>50</v>
      </c>
      <c r="X7" s="5" t="s">
        <v>57</v>
      </c>
      <c r="Y7" s="6" t="s">
        <v>56</v>
      </c>
      <c r="Z7" s="5" t="s">
        <v>72</v>
      </c>
      <c r="AA7" s="6" t="s">
        <v>71</v>
      </c>
      <c r="AB7" s="7">
        <v>0.49980969999999997</v>
      </c>
      <c r="AD7" s="8"/>
      <c r="AF7" s="8"/>
      <c r="AG7" s="8"/>
    </row>
    <row r="8" spans="1:33" x14ac:dyDescent="0.2">
      <c r="A8" s="12">
        <v>601</v>
      </c>
      <c r="B8" s="13" t="s">
        <v>28</v>
      </c>
      <c r="C8" s="13">
        <v>43214</v>
      </c>
      <c r="D8" s="5">
        <v>14</v>
      </c>
      <c r="E8" s="6" t="s">
        <v>77</v>
      </c>
      <c r="F8" s="5" t="s">
        <v>220</v>
      </c>
      <c r="G8" s="6" t="s">
        <v>219</v>
      </c>
      <c r="H8" s="5" t="str">
        <f>"000317"</f>
        <v>000317</v>
      </c>
      <c r="I8" s="4">
        <v>41702</v>
      </c>
      <c r="J8" s="5" t="str">
        <f>"000042"</f>
        <v>000042</v>
      </c>
      <c r="K8" s="4">
        <v>42241</v>
      </c>
      <c r="L8" s="5" t="str">
        <f>""</f>
        <v/>
      </c>
      <c r="M8" s="4"/>
      <c r="N8" s="5">
        <v>14</v>
      </c>
      <c r="O8" s="5" t="str">
        <f>""</f>
        <v/>
      </c>
      <c r="P8" s="4"/>
      <c r="Q8" s="7">
        <v>19.939060000000001</v>
      </c>
      <c r="R8" s="7">
        <v>1.41998</v>
      </c>
      <c r="S8" s="7">
        <v>18.519079999999999</v>
      </c>
      <c r="T8" s="5">
        <v>23</v>
      </c>
      <c r="U8" s="4">
        <v>43214</v>
      </c>
      <c r="V8" s="5">
        <v>9731223456</v>
      </c>
      <c r="W8" s="6" t="s">
        <v>70</v>
      </c>
      <c r="X8" s="5" t="s">
        <v>32</v>
      </c>
      <c r="Y8" s="6" t="s">
        <v>33</v>
      </c>
      <c r="Z8" s="5" t="s">
        <v>72</v>
      </c>
      <c r="AA8" s="6" t="s">
        <v>71</v>
      </c>
      <c r="AB8" s="7">
        <v>0.1993906</v>
      </c>
      <c r="AD8" s="8"/>
      <c r="AF8" s="8"/>
      <c r="AG8" s="8"/>
    </row>
    <row r="9" spans="1:33" x14ac:dyDescent="0.2">
      <c r="A9" s="12">
        <v>688</v>
      </c>
      <c r="B9" s="13" t="s">
        <v>28</v>
      </c>
      <c r="C9" s="13">
        <v>43216</v>
      </c>
      <c r="D9" s="5">
        <v>14</v>
      </c>
      <c r="E9" s="6" t="s">
        <v>77</v>
      </c>
      <c r="F9" s="5" t="s">
        <v>218</v>
      </c>
      <c r="G9" s="6" t="s">
        <v>217</v>
      </c>
      <c r="H9" s="5" t="str">
        <f>"000085"</f>
        <v>000085</v>
      </c>
      <c r="I9" s="4">
        <v>43059</v>
      </c>
      <c r="J9" s="5" t="str">
        <f>"000002"</f>
        <v>000002</v>
      </c>
      <c r="K9" s="4">
        <v>43192</v>
      </c>
      <c r="L9" s="5" t="str">
        <f>"000002"</f>
        <v>000002</v>
      </c>
      <c r="M9" s="4">
        <v>43193</v>
      </c>
      <c r="N9" s="5">
        <v>18</v>
      </c>
      <c r="O9" s="5" t="str">
        <f>"000605"</f>
        <v>000605</v>
      </c>
      <c r="P9" s="4">
        <v>43207</v>
      </c>
      <c r="Q9" s="7">
        <v>49.978209999999997</v>
      </c>
      <c r="R9" s="7">
        <v>4.5668300000000004</v>
      </c>
      <c r="S9" s="7">
        <v>45.411380000000001</v>
      </c>
      <c r="T9" s="5">
        <v>25</v>
      </c>
      <c r="U9" s="4">
        <v>43216</v>
      </c>
      <c r="V9" s="5">
        <v>9449219009</v>
      </c>
      <c r="W9" s="6" t="s">
        <v>50</v>
      </c>
      <c r="X9" s="5" t="s">
        <v>57</v>
      </c>
      <c r="Y9" s="6" t="s">
        <v>56</v>
      </c>
      <c r="Z9" s="5" t="s">
        <v>72</v>
      </c>
      <c r="AA9" s="6" t="s">
        <v>71</v>
      </c>
      <c r="AB9" s="7">
        <v>0.49978209999999995</v>
      </c>
      <c r="AD9" s="8"/>
      <c r="AF9" s="8"/>
      <c r="AG9" s="8"/>
    </row>
    <row r="10" spans="1:33" x14ac:dyDescent="0.2">
      <c r="A10" s="12">
        <v>689</v>
      </c>
      <c r="B10" s="13" t="s">
        <v>28</v>
      </c>
      <c r="C10" s="13">
        <v>43216</v>
      </c>
      <c r="D10" s="5">
        <v>14</v>
      </c>
      <c r="E10" s="6" t="s">
        <v>77</v>
      </c>
      <c r="F10" s="5" t="s">
        <v>216</v>
      </c>
      <c r="G10" s="6" t="s">
        <v>215</v>
      </c>
      <c r="H10" s="5" t="str">
        <f>"000088"</f>
        <v>000088</v>
      </c>
      <c r="I10" s="4">
        <v>43059</v>
      </c>
      <c r="J10" s="5" t="str">
        <f>"000035"</f>
        <v>000035</v>
      </c>
      <c r="K10" s="4">
        <v>43186</v>
      </c>
      <c r="L10" s="5" t="str">
        <f>"000144"</f>
        <v>000144</v>
      </c>
      <c r="M10" s="4">
        <v>43190</v>
      </c>
      <c r="N10" s="5">
        <v>18</v>
      </c>
      <c r="O10" s="5" t="str">
        <f>"000606"</f>
        <v>000606</v>
      </c>
      <c r="P10" s="4">
        <v>43207</v>
      </c>
      <c r="Q10" s="7">
        <v>49.968209999999999</v>
      </c>
      <c r="R10" s="7">
        <v>4.7469400000000004</v>
      </c>
      <c r="S10" s="7">
        <v>45.221269999999997</v>
      </c>
      <c r="T10" s="5">
        <v>25</v>
      </c>
      <c r="U10" s="4">
        <v>43216</v>
      </c>
      <c r="V10" s="5">
        <v>9449219009</v>
      </c>
      <c r="W10" s="6" t="s">
        <v>50</v>
      </c>
      <c r="X10" s="5" t="s">
        <v>57</v>
      </c>
      <c r="Y10" s="6" t="s">
        <v>56</v>
      </c>
      <c r="Z10" s="5" t="s">
        <v>72</v>
      </c>
      <c r="AA10" s="6" t="s">
        <v>71</v>
      </c>
      <c r="AB10" s="7">
        <v>0.49968210000000002</v>
      </c>
      <c r="AD10" s="8"/>
      <c r="AF10" s="8"/>
      <c r="AG10" s="8"/>
    </row>
    <row r="11" spans="1:33" x14ac:dyDescent="0.2">
      <c r="A11" s="12">
        <v>690</v>
      </c>
      <c r="B11" s="13" t="s">
        <v>28</v>
      </c>
      <c r="C11" s="13">
        <v>43216</v>
      </c>
      <c r="D11" s="5">
        <v>14</v>
      </c>
      <c r="E11" s="6" t="s">
        <v>77</v>
      </c>
      <c r="F11" s="5" t="s">
        <v>214</v>
      </c>
      <c r="G11" s="6" t="s">
        <v>213</v>
      </c>
      <c r="H11" s="5" t="str">
        <f>"000077"</f>
        <v>000077</v>
      </c>
      <c r="I11" s="4">
        <v>43059</v>
      </c>
      <c r="J11" s="5" t="str">
        <f>"000011"</f>
        <v>000011</v>
      </c>
      <c r="K11" s="4">
        <v>43197</v>
      </c>
      <c r="L11" s="5" t="str">
        <f>"000009"</f>
        <v>000009</v>
      </c>
      <c r="M11" s="4">
        <v>43199</v>
      </c>
      <c r="N11" s="5">
        <v>18</v>
      </c>
      <c r="O11" s="5" t="str">
        <f>"000635"</f>
        <v>000635</v>
      </c>
      <c r="P11" s="4">
        <v>43214</v>
      </c>
      <c r="Q11" s="7">
        <v>49.91901</v>
      </c>
      <c r="R11" s="7">
        <v>4.7233200000000002</v>
      </c>
      <c r="S11" s="7">
        <v>45.195689999999999</v>
      </c>
      <c r="T11" s="5">
        <v>25</v>
      </c>
      <c r="U11" s="4">
        <v>43216</v>
      </c>
      <c r="V11" s="5">
        <v>9449219009</v>
      </c>
      <c r="W11" s="6" t="s">
        <v>50</v>
      </c>
      <c r="X11" s="5" t="s">
        <v>57</v>
      </c>
      <c r="Y11" s="6" t="s">
        <v>56</v>
      </c>
      <c r="Z11" s="5" t="s">
        <v>72</v>
      </c>
      <c r="AA11" s="6" t="s">
        <v>71</v>
      </c>
      <c r="AB11" s="7">
        <v>0.49919010000000003</v>
      </c>
      <c r="AD11" s="8"/>
      <c r="AF11" s="8"/>
      <c r="AG11" s="8"/>
    </row>
    <row r="12" spans="1:33" x14ac:dyDescent="0.2">
      <c r="A12" s="12">
        <v>691</v>
      </c>
      <c r="B12" s="13" t="s">
        <v>28</v>
      </c>
      <c r="C12" s="13">
        <v>43216</v>
      </c>
      <c r="D12" s="5">
        <v>14</v>
      </c>
      <c r="E12" s="6" t="s">
        <v>77</v>
      </c>
      <c r="F12" s="5" t="s">
        <v>212</v>
      </c>
      <c r="G12" s="6" t="s">
        <v>211</v>
      </c>
      <c r="H12" s="5" t="str">
        <f>"000082"</f>
        <v>000082</v>
      </c>
      <c r="I12" s="4">
        <v>43059</v>
      </c>
      <c r="J12" s="5" t="str">
        <f>"000010"</f>
        <v>000010</v>
      </c>
      <c r="K12" s="4">
        <v>43197</v>
      </c>
      <c r="L12" s="5" t="str">
        <f>"000008"</f>
        <v>000008</v>
      </c>
      <c r="M12" s="4">
        <v>43199</v>
      </c>
      <c r="N12" s="5">
        <v>18</v>
      </c>
      <c r="O12" s="5" t="str">
        <f>"000636"</f>
        <v>000636</v>
      </c>
      <c r="P12" s="4">
        <v>43214</v>
      </c>
      <c r="Q12" s="7">
        <v>49.97522</v>
      </c>
      <c r="R12" s="7">
        <v>4.7232500000000002</v>
      </c>
      <c r="S12" s="7">
        <v>45.25197</v>
      </c>
      <c r="T12" s="5">
        <v>25</v>
      </c>
      <c r="U12" s="4">
        <v>43216</v>
      </c>
      <c r="V12" s="5">
        <v>9449219009</v>
      </c>
      <c r="W12" s="6" t="s">
        <v>50</v>
      </c>
      <c r="X12" s="5" t="s">
        <v>57</v>
      </c>
      <c r="Y12" s="6" t="s">
        <v>56</v>
      </c>
      <c r="Z12" s="5" t="s">
        <v>72</v>
      </c>
      <c r="AA12" s="6" t="s">
        <v>71</v>
      </c>
      <c r="AB12" s="7">
        <v>0.49975219999999998</v>
      </c>
      <c r="AD12" s="8"/>
      <c r="AF12" s="8"/>
      <c r="AG12" s="8"/>
    </row>
    <row r="13" spans="1:33" x14ac:dyDescent="0.2">
      <c r="A13" s="12">
        <v>774</v>
      </c>
      <c r="B13" s="13" t="s">
        <v>28</v>
      </c>
      <c r="C13" s="13">
        <v>43217</v>
      </c>
      <c r="D13" s="5">
        <v>14</v>
      </c>
      <c r="E13" s="6" t="s">
        <v>77</v>
      </c>
      <c r="F13" s="5" t="s">
        <v>210</v>
      </c>
      <c r="G13" s="6" t="s">
        <v>209</v>
      </c>
      <c r="H13" s="5" t="str">
        <f>"000257"</f>
        <v>000257</v>
      </c>
      <c r="I13" s="4">
        <v>42063</v>
      </c>
      <c r="J13" s="5" t="str">
        <f>"000147"</f>
        <v>000147</v>
      </c>
      <c r="K13" s="4">
        <v>42458</v>
      </c>
      <c r="L13" s="5" t="str">
        <f>"000627"</f>
        <v>000627</v>
      </c>
      <c r="M13" s="4">
        <v>42460</v>
      </c>
      <c r="N13" s="5">
        <v>15</v>
      </c>
      <c r="O13" s="5" t="str">
        <f>"000497"</f>
        <v>000497</v>
      </c>
      <c r="P13" s="4">
        <v>43202</v>
      </c>
      <c r="Q13" s="7">
        <v>29.908080000000002</v>
      </c>
      <c r="R13" s="7">
        <v>4.0228200000000003</v>
      </c>
      <c r="S13" s="7">
        <v>25.885259999999999</v>
      </c>
      <c r="T13" s="5">
        <v>30</v>
      </c>
      <c r="U13" s="4">
        <v>43217</v>
      </c>
      <c r="V13" s="5">
        <v>9886219099</v>
      </c>
      <c r="W13" s="6" t="s">
        <v>50</v>
      </c>
      <c r="X13" s="5" t="s">
        <v>44</v>
      </c>
      <c r="Y13" s="6" t="s">
        <v>45</v>
      </c>
      <c r="Z13" s="5" t="s">
        <v>72</v>
      </c>
      <c r="AA13" s="6" t="s">
        <v>71</v>
      </c>
      <c r="AB13" s="7">
        <v>0.29908080000000004</v>
      </c>
      <c r="AD13" s="8"/>
      <c r="AF13" s="8"/>
      <c r="AG13" s="8"/>
    </row>
    <row r="14" spans="1:33" x14ac:dyDescent="0.2">
      <c r="A14" s="12">
        <v>775</v>
      </c>
      <c r="B14" s="13" t="s">
        <v>28</v>
      </c>
      <c r="C14" s="13">
        <v>43217</v>
      </c>
      <c r="D14" s="5">
        <v>14</v>
      </c>
      <c r="E14" s="6" t="s">
        <v>77</v>
      </c>
      <c r="F14" s="5" t="s">
        <v>208</v>
      </c>
      <c r="G14" s="6" t="s">
        <v>207</v>
      </c>
      <c r="H14" s="5" t="str">
        <f>"000256"</f>
        <v>000256</v>
      </c>
      <c r="I14" s="4">
        <v>42063</v>
      </c>
      <c r="J14" s="5" t="str">
        <f>"000148"</f>
        <v>000148</v>
      </c>
      <c r="K14" s="4">
        <v>42458</v>
      </c>
      <c r="L14" s="5" t="str">
        <f>"000628"</f>
        <v>000628</v>
      </c>
      <c r="M14" s="4">
        <v>42460</v>
      </c>
      <c r="N14" s="5">
        <v>15</v>
      </c>
      <c r="O14" s="5" t="str">
        <f>"000498"</f>
        <v>000498</v>
      </c>
      <c r="P14" s="4">
        <v>43202</v>
      </c>
      <c r="Q14" s="7">
        <v>29.96416</v>
      </c>
      <c r="R14" s="7">
        <v>4.0441799999999999</v>
      </c>
      <c r="S14" s="7">
        <v>25.919979999999999</v>
      </c>
      <c r="T14" s="5">
        <v>30</v>
      </c>
      <c r="U14" s="4">
        <v>43217</v>
      </c>
      <c r="V14" s="5">
        <v>9886219099</v>
      </c>
      <c r="W14" s="6" t="s">
        <v>50</v>
      </c>
      <c r="X14" s="5" t="s">
        <v>44</v>
      </c>
      <c r="Y14" s="6" t="s">
        <v>45</v>
      </c>
      <c r="Z14" s="5" t="s">
        <v>72</v>
      </c>
      <c r="AA14" s="6" t="s">
        <v>71</v>
      </c>
      <c r="AB14" s="7">
        <v>0.29964160000000001</v>
      </c>
      <c r="AD14" s="8"/>
      <c r="AF14" s="8"/>
      <c r="AG14" s="8"/>
    </row>
    <row r="15" spans="1:33" x14ac:dyDescent="0.2">
      <c r="A15" s="12">
        <v>802</v>
      </c>
      <c r="B15" s="13" t="s">
        <v>38</v>
      </c>
      <c r="C15" s="13">
        <v>43225</v>
      </c>
      <c r="D15" s="5">
        <v>14</v>
      </c>
      <c r="E15" s="6" t="s">
        <v>77</v>
      </c>
      <c r="F15" s="5" t="s">
        <v>206</v>
      </c>
      <c r="G15" s="6" t="s">
        <v>205</v>
      </c>
      <c r="H15" s="5" t="str">
        <f>"000387"</f>
        <v>000387</v>
      </c>
      <c r="I15" s="4">
        <v>42825</v>
      </c>
      <c r="J15" s="5" t="str">
        <f>"000142"</f>
        <v>000142</v>
      </c>
      <c r="K15" s="4">
        <v>42740</v>
      </c>
      <c r="L15" s="5" t="str">
        <f>"000698"</f>
        <v>000698</v>
      </c>
      <c r="M15" s="4">
        <v>42825</v>
      </c>
      <c r="N15" s="5">
        <v>15</v>
      </c>
      <c r="O15" s="5" t="str">
        <f>"001040"</f>
        <v>001040</v>
      </c>
      <c r="P15" s="4">
        <v>43223</v>
      </c>
      <c r="Q15" s="7">
        <v>11.480829999999999</v>
      </c>
      <c r="R15" s="7">
        <v>1.5367</v>
      </c>
      <c r="S15" s="7">
        <v>9.9441299999999995</v>
      </c>
      <c r="T15" s="5">
        <v>38</v>
      </c>
      <c r="U15" s="4">
        <v>43225</v>
      </c>
      <c r="V15" s="5">
        <v>9449219009</v>
      </c>
      <c r="W15" s="6" t="s">
        <v>50</v>
      </c>
      <c r="X15" s="5" t="s">
        <v>32</v>
      </c>
      <c r="Y15" s="6" t="s">
        <v>33</v>
      </c>
      <c r="Z15" s="5" t="s">
        <v>72</v>
      </c>
      <c r="AA15" s="6" t="s">
        <v>71</v>
      </c>
      <c r="AB15" s="7">
        <v>0.11480829999999999</v>
      </c>
      <c r="AD15" s="8"/>
      <c r="AF15" s="8"/>
      <c r="AG15" s="8"/>
    </row>
    <row r="16" spans="1:33" x14ac:dyDescent="0.2">
      <c r="A16" s="12">
        <v>1164</v>
      </c>
      <c r="B16" s="13" t="s">
        <v>38</v>
      </c>
      <c r="C16" s="13">
        <v>43238</v>
      </c>
      <c r="D16" s="5">
        <v>14</v>
      </c>
      <c r="E16" s="6" t="s">
        <v>77</v>
      </c>
      <c r="F16" s="5" t="s">
        <v>204</v>
      </c>
      <c r="G16" s="6" t="s">
        <v>203</v>
      </c>
      <c r="H16" s="5" t="str">
        <f>"000016"</f>
        <v>000016</v>
      </c>
      <c r="I16" s="4">
        <v>42109</v>
      </c>
      <c r="J16" s="5" t="str">
        <f>"000051"</f>
        <v>000051</v>
      </c>
      <c r="K16" s="4">
        <v>42546</v>
      </c>
      <c r="L16" s="5" t="str">
        <f>"000191"</f>
        <v>000191</v>
      </c>
      <c r="M16" s="4">
        <v>42551</v>
      </c>
      <c r="N16" s="5">
        <v>15</v>
      </c>
      <c r="O16" s="5" t="str">
        <f>"001402"</f>
        <v>001402</v>
      </c>
      <c r="P16" s="4">
        <v>43236</v>
      </c>
      <c r="Q16" s="7">
        <v>14.57427</v>
      </c>
      <c r="R16" s="7">
        <v>1.1112</v>
      </c>
      <c r="S16" s="7">
        <v>13.46307</v>
      </c>
      <c r="T16" s="5">
        <v>52</v>
      </c>
      <c r="U16" s="4">
        <v>43238</v>
      </c>
      <c r="V16" s="5">
        <v>9456321456</v>
      </c>
      <c r="W16" s="6" t="s">
        <v>202</v>
      </c>
      <c r="X16" s="5" t="s">
        <v>32</v>
      </c>
      <c r="Y16" s="6" t="s">
        <v>33</v>
      </c>
      <c r="Z16" s="5" t="s">
        <v>72</v>
      </c>
      <c r="AA16" s="6" t="s">
        <v>71</v>
      </c>
      <c r="AB16" s="7">
        <v>0.1457427</v>
      </c>
      <c r="AD16" s="8"/>
      <c r="AF16" s="8"/>
      <c r="AG16" s="8"/>
    </row>
    <row r="17" spans="1:33" x14ac:dyDescent="0.2">
      <c r="A17" s="12">
        <v>1287</v>
      </c>
      <c r="B17" s="13" t="s">
        <v>38</v>
      </c>
      <c r="C17" s="13">
        <v>43241</v>
      </c>
      <c r="D17" s="5">
        <v>14</v>
      </c>
      <c r="E17" s="6" t="s">
        <v>77</v>
      </c>
      <c r="F17" s="5" t="s">
        <v>201</v>
      </c>
      <c r="G17" s="6" t="s">
        <v>200</v>
      </c>
      <c r="H17" s="5" t="str">
        <f>"000376"</f>
        <v>000376</v>
      </c>
      <c r="I17" s="4">
        <v>43186</v>
      </c>
      <c r="J17" s="5" t="str">
        <f>"000024"</f>
        <v>000024</v>
      </c>
      <c r="K17" s="4">
        <v>43225</v>
      </c>
      <c r="L17" s="5" t="str">
        <f>"000038"</f>
        <v>000038</v>
      </c>
      <c r="M17" s="4">
        <v>43225</v>
      </c>
      <c r="N17" s="5">
        <v>18</v>
      </c>
      <c r="O17" s="5" t="str">
        <f>"001517"</f>
        <v>001517</v>
      </c>
      <c r="P17" s="4">
        <v>43237</v>
      </c>
      <c r="Q17" s="7">
        <v>49.99492</v>
      </c>
      <c r="R17" s="7">
        <v>4.4772800000000004</v>
      </c>
      <c r="S17" s="7">
        <v>45.51764</v>
      </c>
      <c r="T17" s="5">
        <v>54</v>
      </c>
      <c r="U17" s="4">
        <v>43241</v>
      </c>
      <c r="V17" s="5">
        <v>9743188999</v>
      </c>
      <c r="W17" s="6" t="s">
        <v>50</v>
      </c>
      <c r="X17" s="5" t="s">
        <v>46</v>
      </c>
      <c r="Y17" s="6" t="s">
        <v>47</v>
      </c>
      <c r="Z17" s="5" t="s">
        <v>72</v>
      </c>
      <c r="AA17" s="6" t="s">
        <v>71</v>
      </c>
      <c r="AB17" s="7">
        <v>0.49994919999999998</v>
      </c>
      <c r="AD17" s="8"/>
      <c r="AF17" s="8"/>
      <c r="AG17" s="8"/>
    </row>
    <row r="18" spans="1:33" x14ac:dyDescent="0.2">
      <c r="A18" s="12">
        <v>1288</v>
      </c>
      <c r="B18" s="13" t="s">
        <v>38</v>
      </c>
      <c r="C18" s="13">
        <v>43241</v>
      </c>
      <c r="D18" s="5">
        <v>14</v>
      </c>
      <c r="E18" s="6" t="s">
        <v>77</v>
      </c>
      <c r="F18" s="5" t="s">
        <v>199</v>
      </c>
      <c r="G18" s="6" t="s">
        <v>198</v>
      </c>
      <c r="H18" s="5" t="str">
        <f>"000374"</f>
        <v>000374</v>
      </c>
      <c r="I18" s="4">
        <v>43186</v>
      </c>
      <c r="J18" s="5" t="str">
        <f>"000023"</f>
        <v>000023</v>
      </c>
      <c r="K18" s="4">
        <v>43225</v>
      </c>
      <c r="L18" s="5" t="str">
        <f>"000039"</f>
        <v>000039</v>
      </c>
      <c r="M18" s="4">
        <v>43225</v>
      </c>
      <c r="N18" s="5">
        <v>18</v>
      </c>
      <c r="O18" s="5" t="str">
        <f>"001518"</f>
        <v>001518</v>
      </c>
      <c r="P18" s="4">
        <v>43237</v>
      </c>
      <c r="Q18" s="7">
        <v>24.950890000000001</v>
      </c>
      <c r="R18" s="7">
        <v>2.2334299999999998</v>
      </c>
      <c r="S18" s="7">
        <v>22.717459999999999</v>
      </c>
      <c r="T18" s="5">
        <v>54</v>
      </c>
      <c r="U18" s="4">
        <v>43241</v>
      </c>
      <c r="V18" s="5">
        <v>9743188999</v>
      </c>
      <c r="W18" s="6" t="s">
        <v>50</v>
      </c>
      <c r="X18" s="5" t="s">
        <v>46</v>
      </c>
      <c r="Y18" s="6" t="s">
        <v>47</v>
      </c>
      <c r="Z18" s="5" t="s">
        <v>72</v>
      </c>
      <c r="AA18" s="6" t="s">
        <v>71</v>
      </c>
      <c r="AB18" s="7">
        <v>0.24950890000000001</v>
      </c>
      <c r="AD18" s="8"/>
      <c r="AF18" s="8"/>
      <c r="AG18" s="8"/>
    </row>
    <row r="19" spans="1:33" x14ac:dyDescent="0.2">
      <c r="A19" s="12">
        <v>1488</v>
      </c>
      <c r="B19" s="13" t="s">
        <v>38</v>
      </c>
      <c r="C19" s="13">
        <v>43251</v>
      </c>
      <c r="D19" s="5">
        <v>14</v>
      </c>
      <c r="E19" s="6" t="s">
        <v>77</v>
      </c>
      <c r="F19" s="5" t="s">
        <v>197</v>
      </c>
      <c r="G19" s="6" t="s">
        <v>196</v>
      </c>
      <c r="H19" s="5" t="str">
        <f>"000007"</f>
        <v>000007</v>
      </c>
      <c r="I19" s="4">
        <v>41075</v>
      </c>
      <c r="J19" s="5" t="str">
        <f>"000041"</f>
        <v>000041</v>
      </c>
      <c r="K19" s="4">
        <v>41454</v>
      </c>
      <c r="L19" s="5" t="str">
        <f>"000202"</f>
        <v>000202</v>
      </c>
      <c r="M19" s="4">
        <v>41454</v>
      </c>
      <c r="N19" s="5">
        <v>12</v>
      </c>
      <c r="O19" s="5" t="str">
        <f>"001093"</f>
        <v>001093</v>
      </c>
      <c r="P19" s="4">
        <v>42195</v>
      </c>
      <c r="Q19" s="7">
        <v>24.837440000000001</v>
      </c>
      <c r="R19" s="7">
        <v>3.3035199999999998</v>
      </c>
      <c r="S19" s="7">
        <v>21.533919999999998</v>
      </c>
      <c r="T19" s="5">
        <v>67</v>
      </c>
      <c r="U19" s="4">
        <v>43251</v>
      </c>
      <c r="V19" s="5">
        <v>9889219009</v>
      </c>
      <c r="W19" s="6" t="s">
        <v>50</v>
      </c>
      <c r="X19" s="5" t="s">
        <v>59</v>
      </c>
      <c r="Y19" s="6" t="s">
        <v>58</v>
      </c>
      <c r="Z19" s="5" t="s">
        <v>72</v>
      </c>
      <c r="AA19" s="6" t="s">
        <v>71</v>
      </c>
      <c r="AB19" s="7">
        <v>0.2483744</v>
      </c>
      <c r="AD19" s="8"/>
      <c r="AF19" s="8"/>
      <c r="AG19" s="8"/>
    </row>
    <row r="20" spans="1:33" x14ac:dyDescent="0.2">
      <c r="A20" s="12">
        <v>1489</v>
      </c>
      <c r="B20" s="13" t="s">
        <v>38</v>
      </c>
      <c r="C20" s="13">
        <v>43251</v>
      </c>
      <c r="D20" s="5">
        <v>14</v>
      </c>
      <c r="E20" s="6" t="s">
        <v>77</v>
      </c>
      <c r="F20" s="5" t="s">
        <v>195</v>
      </c>
      <c r="G20" s="6" t="s">
        <v>194</v>
      </c>
      <c r="H20" s="5" t="str">
        <f>"000084"</f>
        <v>000084</v>
      </c>
      <c r="I20" s="4">
        <v>42453</v>
      </c>
      <c r="J20" s="5" t="str">
        <f>"000064"</f>
        <v>000064</v>
      </c>
      <c r="K20" s="4">
        <v>42551</v>
      </c>
      <c r="L20" s="5" t="str">
        <f>"000240"</f>
        <v>000240</v>
      </c>
      <c r="M20" s="4">
        <v>42551</v>
      </c>
      <c r="N20" s="5">
        <v>16</v>
      </c>
      <c r="O20" s="5" t="str">
        <f>"001931"</f>
        <v>001931</v>
      </c>
      <c r="P20" s="4">
        <v>43246</v>
      </c>
      <c r="Q20" s="7">
        <v>11.598789999999999</v>
      </c>
      <c r="R20" s="7">
        <v>0.86741000000000001</v>
      </c>
      <c r="S20" s="7">
        <v>10.73138</v>
      </c>
      <c r="T20" s="5">
        <v>67</v>
      </c>
      <c r="U20" s="4">
        <v>43251</v>
      </c>
      <c r="V20" s="5">
        <v>7894482160</v>
      </c>
      <c r="W20" s="6" t="s">
        <v>64</v>
      </c>
      <c r="X20" s="5" t="s">
        <v>32</v>
      </c>
      <c r="Y20" s="6" t="s">
        <v>33</v>
      </c>
      <c r="Z20" s="5" t="s">
        <v>72</v>
      </c>
      <c r="AA20" s="6" t="s">
        <v>71</v>
      </c>
      <c r="AB20" s="7">
        <v>0.11598789999999999</v>
      </c>
      <c r="AD20" s="8"/>
      <c r="AF20" s="8"/>
      <c r="AG20" s="8"/>
    </row>
    <row r="21" spans="1:33" x14ac:dyDescent="0.2">
      <c r="A21" s="12">
        <v>1490</v>
      </c>
      <c r="B21" s="13" t="s">
        <v>38</v>
      </c>
      <c r="C21" s="13">
        <v>43251</v>
      </c>
      <c r="D21" s="5">
        <v>14</v>
      </c>
      <c r="E21" s="6" t="s">
        <v>77</v>
      </c>
      <c r="F21" s="5" t="s">
        <v>193</v>
      </c>
      <c r="G21" s="6" t="s">
        <v>192</v>
      </c>
      <c r="H21" s="5" t="str">
        <f>"000085"</f>
        <v>000085</v>
      </c>
      <c r="I21" s="4">
        <v>42453</v>
      </c>
      <c r="J21" s="5" t="str">
        <f>"000100"</f>
        <v>000100</v>
      </c>
      <c r="K21" s="4">
        <v>42604</v>
      </c>
      <c r="L21" s="5" t="str">
        <f>"000396"</f>
        <v>000396</v>
      </c>
      <c r="M21" s="4">
        <v>42613</v>
      </c>
      <c r="N21" s="5">
        <v>16</v>
      </c>
      <c r="O21" s="5" t="str">
        <f>"001934"</f>
        <v>001934</v>
      </c>
      <c r="P21" s="4">
        <v>43246</v>
      </c>
      <c r="Q21" s="7">
        <v>14.6381</v>
      </c>
      <c r="R21" s="7">
        <v>1.0886</v>
      </c>
      <c r="S21" s="7">
        <v>13.5495</v>
      </c>
      <c r="T21" s="5">
        <v>67</v>
      </c>
      <c r="U21" s="4">
        <v>43251</v>
      </c>
      <c r="V21" s="5">
        <v>9743188999</v>
      </c>
      <c r="W21" s="6" t="s">
        <v>191</v>
      </c>
      <c r="X21" s="5" t="s">
        <v>32</v>
      </c>
      <c r="Y21" s="6" t="s">
        <v>33</v>
      </c>
      <c r="Z21" s="5" t="s">
        <v>72</v>
      </c>
      <c r="AA21" s="6" t="s">
        <v>71</v>
      </c>
      <c r="AB21" s="7">
        <v>0.14638099999999998</v>
      </c>
      <c r="AD21" s="8"/>
      <c r="AF21" s="8"/>
      <c r="AG21" s="8"/>
    </row>
    <row r="22" spans="1:33" x14ac:dyDescent="0.2">
      <c r="A22" s="12">
        <v>1491</v>
      </c>
      <c r="B22" s="13" t="s">
        <v>38</v>
      </c>
      <c r="C22" s="13">
        <v>43251</v>
      </c>
      <c r="D22" s="5">
        <v>14</v>
      </c>
      <c r="E22" s="6" t="s">
        <v>77</v>
      </c>
      <c r="F22" s="5" t="s">
        <v>190</v>
      </c>
      <c r="G22" s="6" t="s">
        <v>189</v>
      </c>
      <c r="H22" s="5" t="str">
        <f>"000107"</f>
        <v>000107</v>
      </c>
      <c r="I22" s="4">
        <v>41817</v>
      </c>
      <c r="J22" s="5" t="str">
        <f>"000063"</f>
        <v>000063</v>
      </c>
      <c r="K22" s="4">
        <v>42550</v>
      </c>
      <c r="L22" s="5" t="str">
        <f>"000239"</f>
        <v>000239</v>
      </c>
      <c r="M22" s="4">
        <v>42589</v>
      </c>
      <c r="N22" s="5">
        <v>14</v>
      </c>
      <c r="O22" s="5" t="str">
        <f>"002060"</f>
        <v>002060</v>
      </c>
      <c r="P22" s="4">
        <v>43250</v>
      </c>
      <c r="Q22" s="7">
        <v>12.22392</v>
      </c>
      <c r="R22" s="7">
        <v>1.67432</v>
      </c>
      <c r="S22" s="7">
        <v>10.5496</v>
      </c>
      <c r="T22" s="5">
        <v>67</v>
      </c>
      <c r="U22" s="4">
        <v>43251</v>
      </c>
      <c r="V22" s="5">
        <v>9481614888</v>
      </c>
      <c r="W22" s="6" t="s">
        <v>50</v>
      </c>
      <c r="X22" s="5" t="s">
        <v>42</v>
      </c>
      <c r="Y22" s="6" t="s">
        <v>43</v>
      </c>
      <c r="Z22" s="5" t="s">
        <v>72</v>
      </c>
      <c r="AA22" s="6" t="s">
        <v>71</v>
      </c>
      <c r="AB22" s="7">
        <v>0.12223919999999999</v>
      </c>
      <c r="AD22" s="8"/>
      <c r="AF22" s="8"/>
      <c r="AG22" s="8"/>
    </row>
    <row r="23" spans="1:33" x14ac:dyDescent="0.2">
      <c r="A23" s="12">
        <v>1608</v>
      </c>
      <c r="B23" s="13" t="s">
        <v>37</v>
      </c>
      <c r="C23" s="13">
        <v>43252</v>
      </c>
      <c r="D23" s="5">
        <v>14</v>
      </c>
      <c r="E23" s="6" t="s">
        <v>77</v>
      </c>
      <c r="F23" s="5" t="s">
        <v>188</v>
      </c>
      <c r="G23" s="6" t="s">
        <v>187</v>
      </c>
      <c r="H23" s="5" t="str">
        <f>"000031"</f>
        <v>000031</v>
      </c>
      <c r="I23" s="4">
        <v>42968</v>
      </c>
      <c r="J23" s="5" t="str">
        <f>"000021"</f>
        <v>000021</v>
      </c>
      <c r="K23" s="4">
        <v>43069</v>
      </c>
      <c r="L23" s="5" t="str">
        <f>"000063"</f>
        <v>000063</v>
      </c>
      <c r="M23" s="4">
        <v>43076</v>
      </c>
      <c r="N23" s="5">
        <v>17</v>
      </c>
      <c r="O23" s="5" t="str">
        <f>"001789"</f>
        <v>001789</v>
      </c>
      <c r="P23" s="4">
        <v>43243</v>
      </c>
      <c r="Q23" s="7">
        <v>14.998089999999999</v>
      </c>
      <c r="R23" s="7">
        <v>0.44472</v>
      </c>
      <c r="S23" s="7">
        <v>14.553369999999999</v>
      </c>
      <c r="T23" s="5">
        <v>66</v>
      </c>
      <c r="U23" s="4">
        <v>43252</v>
      </c>
      <c r="V23" s="5">
        <v>9845875795</v>
      </c>
      <c r="W23" s="6" t="s">
        <v>186</v>
      </c>
      <c r="X23" s="5" t="s">
        <v>32</v>
      </c>
      <c r="Y23" s="6" t="s">
        <v>33</v>
      </c>
      <c r="Z23" s="5" t="s">
        <v>72</v>
      </c>
      <c r="AA23" s="6" t="s">
        <v>71</v>
      </c>
      <c r="AB23" s="7">
        <v>0.1499809</v>
      </c>
      <c r="AD23" s="8"/>
      <c r="AF23" s="8"/>
      <c r="AG23" s="8"/>
    </row>
    <row r="24" spans="1:33" x14ac:dyDescent="0.2">
      <c r="A24" s="12">
        <v>1733</v>
      </c>
      <c r="B24" s="13" t="s">
        <v>37</v>
      </c>
      <c r="C24" s="13">
        <v>43257</v>
      </c>
      <c r="D24" s="5">
        <v>14</v>
      </c>
      <c r="E24" s="6" t="s">
        <v>77</v>
      </c>
      <c r="F24" s="5" t="s">
        <v>185</v>
      </c>
      <c r="G24" s="6" t="s">
        <v>184</v>
      </c>
      <c r="H24" s="5" t="str">
        <f>"000012"</f>
        <v>000012</v>
      </c>
      <c r="I24" s="4">
        <v>41620</v>
      </c>
      <c r="J24" s="5" t="str">
        <f>"000026"</f>
        <v>000026</v>
      </c>
      <c r="K24" s="4">
        <v>42628</v>
      </c>
      <c r="L24" s="5" t="str">
        <f>"000031"</f>
        <v>000031</v>
      </c>
      <c r="M24" s="4">
        <v>42629</v>
      </c>
      <c r="N24" s="5">
        <v>13</v>
      </c>
      <c r="O24" s="5" t="str">
        <f>"002164"</f>
        <v>002164</v>
      </c>
      <c r="P24" s="4">
        <v>43255</v>
      </c>
      <c r="Q24" s="7">
        <v>2.58</v>
      </c>
      <c r="R24" s="7">
        <v>0.31219999999999998</v>
      </c>
      <c r="S24" s="7">
        <v>2.2677999999999998</v>
      </c>
      <c r="T24" s="5">
        <v>71</v>
      </c>
      <c r="U24" s="4">
        <v>43257</v>
      </c>
      <c r="V24" s="5">
        <v>9845239239</v>
      </c>
      <c r="W24" s="6" t="s">
        <v>183</v>
      </c>
      <c r="X24" s="5" t="s">
        <v>96</v>
      </c>
      <c r="Y24" s="6" t="s">
        <v>95</v>
      </c>
      <c r="Z24" s="5" t="s">
        <v>66</v>
      </c>
      <c r="AA24" s="6" t="s">
        <v>65</v>
      </c>
      <c r="AB24" s="7">
        <v>2.58E-2</v>
      </c>
      <c r="AD24" s="8"/>
      <c r="AF24" s="8"/>
      <c r="AG24" s="8"/>
    </row>
    <row r="25" spans="1:33" x14ac:dyDescent="0.2">
      <c r="A25" s="12">
        <v>1734</v>
      </c>
      <c r="B25" s="13" t="s">
        <v>37</v>
      </c>
      <c r="C25" s="13">
        <v>43257</v>
      </c>
      <c r="D25" s="5">
        <v>14</v>
      </c>
      <c r="E25" s="6" t="s">
        <v>77</v>
      </c>
      <c r="F25" s="5" t="s">
        <v>182</v>
      </c>
      <c r="G25" s="6" t="s">
        <v>181</v>
      </c>
      <c r="H25" s="5" t="str">
        <f>"000102"</f>
        <v>000102</v>
      </c>
      <c r="I25" s="4">
        <v>43075</v>
      </c>
      <c r="J25" s="5" t="str">
        <f>"000007"</f>
        <v>000007</v>
      </c>
      <c r="K25" s="4">
        <v>43192</v>
      </c>
      <c r="L25" s="5" t="str">
        <f>"000022"</f>
        <v>000022</v>
      </c>
      <c r="M25" s="4">
        <v>43216</v>
      </c>
      <c r="N25" s="5">
        <v>17</v>
      </c>
      <c r="O25" s="5" t="str">
        <f>"002015"</f>
        <v>002015</v>
      </c>
      <c r="P25" s="4">
        <v>43248</v>
      </c>
      <c r="Q25" s="7">
        <v>9.9491999999999994</v>
      </c>
      <c r="R25" s="7">
        <v>0.21743000000000001</v>
      </c>
      <c r="S25" s="7">
        <v>9.7317699999999991</v>
      </c>
      <c r="T25" s="5">
        <v>72</v>
      </c>
      <c r="U25" s="4">
        <v>43257</v>
      </c>
      <c r="V25" s="5">
        <v>9535545766</v>
      </c>
      <c r="W25" s="6" t="s">
        <v>180</v>
      </c>
      <c r="X25" s="5" t="s">
        <v>48</v>
      </c>
      <c r="Y25" s="6" t="s">
        <v>49</v>
      </c>
      <c r="Z25" s="5" t="s">
        <v>72</v>
      </c>
      <c r="AA25" s="6" t="s">
        <v>71</v>
      </c>
      <c r="AB25" s="7">
        <v>9.9491999999999997E-2</v>
      </c>
      <c r="AD25" s="8"/>
      <c r="AF25" s="8"/>
      <c r="AG25" s="8"/>
    </row>
    <row r="26" spans="1:33" x14ac:dyDescent="0.2">
      <c r="A26" s="12">
        <v>1735</v>
      </c>
      <c r="B26" s="13" t="s">
        <v>37</v>
      </c>
      <c r="C26" s="13">
        <v>43257</v>
      </c>
      <c r="D26" s="5">
        <v>14</v>
      </c>
      <c r="E26" s="6" t="s">
        <v>77</v>
      </c>
      <c r="F26" s="5" t="s">
        <v>179</v>
      </c>
      <c r="G26" s="6" t="s">
        <v>178</v>
      </c>
      <c r="H26" s="5" t="str">
        <f>"000099"</f>
        <v>000099</v>
      </c>
      <c r="I26" s="4">
        <v>43068</v>
      </c>
      <c r="J26" s="5" t="str">
        <f>"000022"</f>
        <v>000022</v>
      </c>
      <c r="K26" s="4">
        <v>43224</v>
      </c>
      <c r="L26" s="5" t="str">
        <f>"000035"</f>
        <v>000035</v>
      </c>
      <c r="M26" s="4">
        <v>43225</v>
      </c>
      <c r="N26" s="5">
        <v>17</v>
      </c>
      <c r="O26" s="5" t="str">
        <f>"002031"</f>
        <v>002031</v>
      </c>
      <c r="P26" s="4">
        <v>43249</v>
      </c>
      <c r="Q26" s="7">
        <v>11.485099999999999</v>
      </c>
      <c r="R26" s="7">
        <v>0.24118999999999999</v>
      </c>
      <c r="S26" s="7">
        <v>11.24391</v>
      </c>
      <c r="T26" s="5">
        <v>72</v>
      </c>
      <c r="U26" s="4">
        <v>43257</v>
      </c>
      <c r="V26" s="5">
        <v>9448950759</v>
      </c>
      <c r="W26" s="6" t="s">
        <v>154</v>
      </c>
      <c r="X26" s="5" t="s">
        <v>48</v>
      </c>
      <c r="Y26" s="6" t="s">
        <v>49</v>
      </c>
      <c r="Z26" s="5" t="s">
        <v>72</v>
      </c>
      <c r="AA26" s="6" t="s">
        <v>71</v>
      </c>
      <c r="AB26" s="7">
        <v>0.11485099999999999</v>
      </c>
      <c r="AD26" s="8"/>
      <c r="AF26" s="8"/>
      <c r="AG26" s="8"/>
    </row>
    <row r="27" spans="1:33" x14ac:dyDescent="0.2">
      <c r="A27" s="12">
        <v>1736</v>
      </c>
      <c r="B27" s="13" t="s">
        <v>37</v>
      </c>
      <c r="C27" s="13">
        <v>43257</v>
      </c>
      <c r="D27" s="5">
        <v>14</v>
      </c>
      <c r="E27" s="6" t="s">
        <v>77</v>
      </c>
      <c r="F27" s="5" t="s">
        <v>177</v>
      </c>
      <c r="G27" s="6" t="s">
        <v>176</v>
      </c>
      <c r="H27" s="5" t="str">
        <f>"000379"</f>
        <v>000379</v>
      </c>
      <c r="I27" s="4">
        <v>43186</v>
      </c>
      <c r="J27" s="5" t="str">
        <f>"000025"</f>
        <v>000025</v>
      </c>
      <c r="K27" s="4">
        <v>43225</v>
      </c>
      <c r="L27" s="5" t="str">
        <f>"000040"</f>
        <v>000040</v>
      </c>
      <c r="M27" s="4">
        <v>43227</v>
      </c>
      <c r="N27" s="5">
        <v>18</v>
      </c>
      <c r="O27" s="5" t="str">
        <f>"002087"</f>
        <v>002087</v>
      </c>
      <c r="P27" s="4">
        <v>43251</v>
      </c>
      <c r="Q27" s="7">
        <v>49.879530000000003</v>
      </c>
      <c r="R27" s="7">
        <v>4.4299400000000002</v>
      </c>
      <c r="S27" s="7">
        <v>45.449590000000001</v>
      </c>
      <c r="T27" s="5">
        <v>73</v>
      </c>
      <c r="U27" s="4">
        <v>43257</v>
      </c>
      <c r="V27" s="5">
        <v>9743188999</v>
      </c>
      <c r="W27" s="6" t="s">
        <v>50</v>
      </c>
      <c r="X27" s="5" t="s">
        <v>46</v>
      </c>
      <c r="Y27" s="6" t="s">
        <v>47</v>
      </c>
      <c r="Z27" s="5" t="s">
        <v>72</v>
      </c>
      <c r="AA27" s="6" t="s">
        <v>71</v>
      </c>
      <c r="AB27" s="7">
        <v>0.49879530000000005</v>
      </c>
      <c r="AD27" s="8"/>
      <c r="AF27" s="8"/>
      <c r="AG27" s="8"/>
    </row>
    <row r="28" spans="1:33" x14ac:dyDescent="0.2">
      <c r="A28" s="12">
        <v>2472</v>
      </c>
      <c r="B28" s="13" t="s">
        <v>37</v>
      </c>
      <c r="C28" s="13">
        <v>43274</v>
      </c>
      <c r="D28" s="5">
        <v>14</v>
      </c>
      <c r="E28" s="6" t="s">
        <v>77</v>
      </c>
      <c r="F28" s="5" t="s">
        <v>175</v>
      </c>
      <c r="G28" s="6" t="s">
        <v>174</v>
      </c>
      <c r="H28" s="5" t="str">
        <f>"000215"</f>
        <v>000215</v>
      </c>
      <c r="I28" s="4">
        <v>41666</v>
      </c>
      <c r="J28" s="5" t="str">
        <f>"000115"</f>
        <v>000115</v>
      </c>
      <c r="K28" s="4">
        <v>42669</v>
      </c>
      <c r="L28" s="5" t="str">
        <f>"000458"</f>
        <v>000458</v>
      </c>
      <c r="M28" s="4">
        <v>42669</v>
      </c>
      <c r="N28" s="5">
        <v>14</v>
      </c>
      <c r="O28" s="5" t="str">
        <f>"002756"</f>
        <v>002756</v>
      </c>
      <c r="P28" s="4">
        <v>43271</v>
      </c>
      <c r="Q28" s="7">
        <v>17.94688</v>
      </c>
      <c r="R28" s="7">
        <v>2.3718300000000001</v>
      </c>
      <c r="S28" s="7">
        <v>15.575049999999999</v>
      </c>
      <c r="T28" s="5">
        <v>99</v>
      </c>
      <c r="U28" s="4">
        <v>43274</v>
      </c>
      <c r="V28" s="5">
        <v>7353903103</v>
      </c>
      <c r="W28" s="6" t="s">
        <v>169</v>
      </c>
      <c r="X28" s="5" t="s">
        <v>32</v>
      </c>
      <c r="Y28" s="6" t="s">
        <v>33</v>
      </c>
      <c r="Z28" s="5" t="s">
        <v>72</v>
      </c>
      <c r="AA28" s="6" t="s">
        <v>71</v>
      </c>
      <c r="AB28" s="7">
        <v>0.17946880000000001</v>
      </c>
      <c r="AD28" s="8"/>
      <c r="AF28" s="8"/>
      <c r="AG28" s="8"/>
    </row>
    <row r="29" spans="1:33" x14ac:dyDescent="0.2">
      <c r="A29" s="12">
        <v>2473</v>
      </c>
      <c r="B29" s="13" t="s">
        <v>37</v>
      </c>
      <c r="C29" s="13">
        <v>43274</v>
      </c>
      <c r="D29" s="5">
        <v>14</v>
      </c>
      <c r="E29" s="6" t="s">
        <v>77</v>
      </c>
      <c r="F29" s="5" t="s">
        <v>173</v>
      </c>
      <c r="G29" s="6" t="s">
        <v>172</v>
      </c>
      <c r="H29" s="5" t="str">
        <f>"000132"</f>
        <v>000132</v>
      </c>
      <c r="I29" s="4">
        <v>41835</v>
      </c>
      <c r="J29" s="5" t="str">
        <f>"00a114"</f>
        <v>00a114</v>
      </c>
      <c r="K29" s="4">
        <v>42669</v>
      </c>
      <c r="L29" s="5" t="str">
        <f>"000459"</f>
        <v>000459</v>
      </c>
      <c r="M29" s="4">
        <v>42669</v>
      </c>
      <c r="N29" s="5">
        <v>14</v>
      </c>
      <c r="O29" s="5" t="str">
        <f>"002757"</f>
        <v>002757</v>
      </c>
      <c r="P29" s="4">
        <v>43271</v>
      </c>
      <c r="Q29" s="7">
        <v>19.845469999999999</v>
      </c>
      <c r="R29" s="7">
        <v>1.4633799999999999</v>
      </c>
      <c r="S29" s="7">
        <v>18.382090000000002</v>
      </c>
      <c r="T29" s="5">
        <v>99</v>
      </c>
      <c r="U29" s="4">
        <v>43274</v>
      </c>
      <c r="V29" s="5">
        <v>7353903103</v>
      </c>
      <c r="W29" s="6" t="s">
        <v>169</v>
      </c>
      <c r="X29" s="5" t="s">
        <v>32</v>
      </c>
      <c r="Y29" s="6" t="s">
        <v>33</v>
      </c>
      <c r="Z29" s="5" t="s">
        <v>72</v>
      </c>
      <c r="AA29" s="6" t="s">
        <v>71</v>
      </c>
      <c r="AB29" s="7">
        <v>0.19845469999999998</v>
      </c>
      <c r="AD29" s="8"/>
      <c r="AF29" s="8"/>
      <c r="AG29" s="8"/>
    </row>
    <row r="30" spans="1:33" x14ac:dyDescent="0.2">
      <c r="A30" s="12">
        <v>2474</v>
      </c>
      <c r="B30" s="13" t="s">
        <v>37</v>
      </c>
      <c r="C30" s="13">
        <v>43274</v>
      </c>
      <c r="D30" s="5">
        <v>14</v>
      </c>
      <c r="E30" s="6" t="s">
        <v>77</v>
      </c>
      <c r="F30" s="5" t="s">
        <v>171</v>
      </c>
      <c r="G30" s="6" t="s">
        <v>170</v>
      </c>
      <c r="H30" s="5" t="str">
        <f>"000131"</f>
        <v>000131</v>
      </c>
      <c r="I30" s="4">
        <v>41835</v>
      </c>
      <c r="J30" s="5" t="str">
        <f>"000114"</f>
        <v>000114</v>
      </c>
      <c r="K30" s="4">
        <v>42669</v>
      </c>
      <c r="L30" s="5" t="str">
        <f>"000460"</f>
        <v>000460</v>
      </c>
      <c r="M30" s="4">
        <v>42669</v>
      </c>
      <c r="N30" s="5">
        <v>14</v>
      </c>
      <c r="O30" s="5" t="str">
        <f>"002758"</f>
        <v>002758</v>
      </c>
      <c r="P30" s="4">
        <v>43271</v>
      </c>
      <c r="Q30" s="7">
        <v>13.6883</v>
      </c>
      <c r="R30" s="7">
        <v>1.0791500000000001</v>
      </c>
      <c r="S30" s="7">
        <v>12.60915</v>
      </c>
      <c r="T30" s="5">
        <v>99</v>
      </c>
      <c r="U30" s="4">
        <v>43274</v>
      </c>
      <c r="V30" s="5">
        <v>7353903103</v>
      </c>
      <c r="W30" s="6" t="s">
        <v>169</v>
      </c>
      <c r="X30" s="5" t="s">
        <v>32</v>
      </c>
      <c r="Y30" s="6" t="s">
        <v>33</v>
      </c>
      <c r="Z30" s="5" t="s">
        <v>72</v>
      </c>
      <c r="AA30" s="6" t="s">
        <v>71</v>
      </c>
      <c r="AB30" s="7">
        <v>0.136883</v>
      </c>
      <c r="AD30" s="8"/>
      <c r="AF30" s="8"/>
      <c r="AG30" s="8"/>
    </row>
    <row r="31" spans="1:33" x14ac:dyDescent="0.2">
      <c r="A31" s="12">
        <v>2475</v>
      </c>
      <c r="B31" s="13" t="s">
        <v>37</v>
      </c>
      <c r="C31" s="13">
        <v>43274</v>
      </c>
      <c r="D31" s="5">
        <v>14</v>
      </c>
      <c r="E31" s="6" t="s">
        <v>77</v>
      </c>
      <c r="F31" s="5" t="s">
        <v>168</v>
      </c>
      <c r="G31" s="6" t="s">
        <v>167</v>
      </c>
      <c r="H31" s="5" t="str">
        <f>"000101"</f>
        <v>000101</v>
      </c>
      <c r="I31" s="4">
        <v>42460</v>
      </c>
      <c r="J31" s="5" t="str">
        <f>"000105"</f>
        <v>000105</v>
      </c>
      <c r="K31" s="4">
        <v>42637</v>
      </c>
      <c r="L31" s="5" t="str">
        <f>"000470"</f>
        <v>000470</v>
      </c>
      <c r="M31" s="4">
        <v>42669</v>
      </c>
      <c r="N31" s="5">
        <v>16</v>
      </c>
      <c r="O31" s="5" t="str">
        <f>"002767"</f>
        <v>002767</v>
      </c>
      <c r="P31" s="4">
        <v>43271</v>
      </c>
      <c r="Q31" s="7">
        <v>9.35745</v>
      </c>
      <c r="R31" s="7">
        <v>0.77178000000000002</v>
      </c>
      <c r="S31" s="7">
        <v>8.5856700000000004</v>
      </c>
      <c r="T31" s="5">
        <v>99</v>
      </c>
      <c r="U31" s="4">
        <v>43274</v>
      </c>
      <c r="V31" s="5">
        <v>9845673623</v>
      </c>
      <c r="W31" s="6" t="s">
        <v>166</v>
      </c>
      <c r="X31" s="5" t="s">
        <v>32</v>
      </c>
      <c r="Y31" s="6" t="s">
        <v>33</v>
      </c>
      <c r="Z31" s="5" t="s">
        <v>72</v>
      </c>
      <c r="AA31" s="6" t="s">
        <v>71</v>
      </c>
      <c r="AB31" s="7">
        <v>9.3574500000000005E-2</v>
      </c>
      <c r="AD31" s="8"/>
      <c r="AF31" s="8"/>
      <c r="AG31" s="8"/>
    </row>
    <row r="32" spans="1:33" x14ac:dyDescent="0.2">
      <c r="A32" s="12">
        <v>2683</v>
      </c>
      <c r="B32" s="13" t="s">
        <v>37</v>
      </c>
      <c r="C32" s="13">
        <v>43278</v>
      </c>
      <c r="D32" s="5">
        <v>14</v>
      </c>
      <c r="E32" s="6" t="s">
        <v>77</v>
      </c>
      <c r="F32" s="5" t="s">
        <v>165</v>
      </c>
      <c r="G32" s="6" t="s">
        <v>164</v>
      </c>
      <c r="H32" s="5" t="str">
        <f>"000100"</f>
        <v>000100</v>
      </c>
      <c r="I32" s="4">
        <v>42461</v>
      </c>
      <c r="J32" s="5" t="str">
        <f>"000104"</f>
        <v>000104</v>
      </c>
      <c r="K32" s="4">
        <v>42637</v>
      </c>
      <c r="L32" s="5" t="str">
        <f>"000471"</f>
        <v>000471</v>
      </c>
      <c r="M32" s="4">
        <v>42669</v>
      </c>
      <c r="N32" s="5">
        <v>16</v>
      </c>
      <c r="O32" s="5" t="str">
        <f>"002899"</f>
        <v>002899</v>
      </c>
      <c r="P32" s="4">
        <v>43276</v>
      </c>
      <c r="Q32" s="7">
        <v>9.2767599999999995</v>
      </c>
      <c r="R32" s="7">
        <v>0.79896</v>
      </c>
      <c r="S32" s="7">
        <v>8.4778000000000002</v>
      </c>
      <c r="T32" s="5">
        <v>103</v>
      </c>
      <c r="U32" s="4">
        <v>43278</v>
      </c>
      <c r="V32" s="5">
        <v>9036033962</v>
      </c>
      <c r="W32" s="6" t="s">
        <v>163</v>
      </c>
      <c r="X32" s="5" t="s">
        <v>32</v>
      </c>
      <c r="Y32" s="6" t="s">
        <v>33</v>
      </c>
      <c r="Z32" s="5" t="s">
        <v>72</v>
      </c>
      <c r="AA32" s="6" t="s">
        <v>71</v>
      </c>
      <c r="AB32" s="7">
        <v>9.2767599999999992E-2</v>
      </c>
      <c r="AD32" s="8"/>
      <c r="AF32" s="8"/>
      <c r="AG32" s="8"/>
    </row>
    <row r="33" spans="1:33" x14ac:dyDescent="0.2">
      <c r="A33" s="12">
        <v>2684</v>
      </c>
      <c r="B33" s="13" t="s">
        <v>37</v>
      </c>
      <c r="C33" s="13">
        <v>43278</v>
      </c>
      <c r="D33" s="5">
        <v>14</v>
      </c>
      <c r="E33" s="6" t="s">
        <v>77</v>
      </c>
      <c r="F33" s="5" t="s">
        <v>162</v>
      </c>
      <c r="G33" s="6" t="s">
        <v>161</v>
      </c>
      <c r="H33" s="5" t="str">
        <f>"000031"</f>
        <v>000031</v>
      </c>
      <c r="I33" s="4">
        <v>42537</v>
      </c>
      <c r="J33" s="5" t="str">
        <f>"000119"</f>
        <v>000119</v>
      </c>
      <c r="K33" s="4">
        <v>42671</v>
      </c>
      <c r="L33" s="5" t="str">
        <f>"000499"</f>
        <v>000499</v>
      </c>
      <c r="M33" s="4">
        <v>42671</v>
      </c>
      <c r="N33" s="5">
        <v>16</v>
      </c>
      <c r="O33" s="5" t="str">
        <f>"002904"</f>
        <v>002904</v>
      </c>
      <c r="P33" s="4">
        <v>43276</v>
      </c>
      <c r="Q33" s="7">
        <v>15.549950000000001</v>
      </c>
      <c r="R33" s="7">
        <v>1.10734</v>
      </c>
      <c r="S33" s="7">
        <v>14.44261</v>
      </c>
      <c r="T33" s="5">
        <v>103</v>
      </c>
      <c r="U33" s="4">
        <v>43278</v>
      </c>
      <c r="V33" s="5">
        <v>9611148295</v>
      </c>
      <c r="W33" s="6" t="s">
        <v>160</v>
      </c>
      <c r="X33" s="5" t="s">
        <v>32</v>
      </c>
      <c r="Y33" s="6" t="s">
        <v>33</v>
      </c>
      <c r="Z33" s="5" t="s">
        <v>72</v>
      </c>
      <c r="AA33" s="6" t="s">
        <v>71</v>
      </c>
      <c r="AB33" s="7">
        <v>0.15549950000000001</v>
      </c>
      <c r="AD33" s="8"/>
      <c r="AF33" s="8"/>
      <c r="AG33" s="8"/>
    </row>
    <row r="34" spans="1:33" x14ac:dyDescent="0.2">
      <c r="A34" s="12">
        <v>3409</v>
      </c>
      <c r="B34" s="13" t="s">
        <v>34</v>
      </c>
      <c r="C34" s="13">
        <v>43299</v>
      </c>
      <c r="D34" s="5">
        <v>14</v>
      </c>
      <c r="E34" s="6" t="s">
        <v>77</v>
      </c>
      <c r="F34" s="5" t="s">
        <v>159</v>
      </c>
      <c r="G34" s="6" t="s">
        <v>158</v>
      </c>
      <c r="H34" s="5" t="str">
        <f>"000014"</f>
        <v>000014</v>
      </c>
      <c r="I34" s="4">
        <v>42704</v>
      </c>
      <c r="J34" s="5" t="str">
        <f>"000010"</f>
        <v>000010</v>
      </c>
      <c r="K34" s="4">
        <v>43095</v>
      </c>
      <c r="L34" s="5" t="str">
        <f>"000009"</f>
        <v>000009</v>
      </c>
      <c r="M34" s="4">
        <v>43095</v>
      </c>
      <c r="N34" s="5">
        <v>16</v>
      </c>
      <c r="O34" s="5" t="str">
        <f>"003746"</f>
        <v>003746</v>
      </c>
      <c r="P34" s="4">
        <v>43294</v>
      </c>
      <c r="Q34" s="7">
        <v>1.91672</v>
      </c>
      <c r="R34" s="7">
        <v>0.23194999999999999</v>
      </c>
      <c r="S34" s="7">
        <v>1.6847700000000001</v>
      </c>
      <c r="T34" s="5">
        <v>127</v>
      </c>
      <c r="U34" s="4">
        <v>43299</v>
      </c>
      <c r="V34" s="5">
        <v>9986319631</v>
      </c>
      <c r="W34" s="6" t="s">
        <v>157</v>
      </c>
      <c r="X34" s="5" t="s">
        <v>61</v>
      </c>
      <c r="Y34" s="6" t="s">
        <v>60</v>
      </c>
      <c r="Z34" s="5" t="s">
        <v>66</v>
      </c>
      <c r="AA34" s="6" t="s">
        <v>65</v>
      </c>
      <c r="AB34" s="7">
        <v>1.9167199999999999E-2</v>
      </c>
      <c r="AD34" s="8"/>
      <c r="AF34" s="8"/>
      <c r="AG34" s="8"/>
    </row>
    <row r="35" spans="1:33" x14ac:dyDescent="0.2">
      <c r="A35" s="12">
        <v>3410</v>
      </c>
      <c r="B35" s="13" t="s">
        <v>34</v>
      </c>
      <c r="C35" s="13">
        <v>43299</v>
      </c>
      <c r="D35" s="5">
        <v>14</v>
      </c>
      <c r="E35" s="6" t="s">
        <v>77</v>
      </c>
      <c r="F35" s="5" t="s">
        <v>153</v>
      </c>
      <c r="G35" s="6" t="s">
        <v>152</v>
      </c>
      <c r="H35" s="5" t="str">
        <f>"0011"</f>
        <v>0011</v>
      </c>
      <c r="I35" s="4" t="s">
        <v>151</v>
      </c>
      <c r="J35" s="5" t="str">
        <f>"000014"</f>
        <v>000014</v>
      </c>
      <c r="K35" s="4">
        <v>43105</v>
      </c>
      <c r="L35" s="5" t="str">
        <f>"000015"</f>
        <v>000015</v>
      </c>
      <c r="M35" s="4">
        <v>43105</v>
      </c>
      <c r="N35" s="5">
        <v>16</v>
      </c>
      <c r="O35" s="5" t="str">
        <f>"004449"</f>
        <v>004449</v>
      </c>
      <c r="P35" s="4">
        <v>43307</v>
      </c>
      <c r="Q35" s="7">
        <v>7.5393299999999996</v>
      </c>
      <c r="R35" s="7">
        <v>0.73109000000000002</v>
      </c>
      <c r="S35" s="7">
        <v>6.8082399999999996</v>
      </c>
      <c r="T35" s="5">
        <v>127</v>
      </c>
      <c r="U35" s="4">
        <v>43299</v>
      </c>
      <c r="V35" s="5">
        <v>9448370460</v>
      </c>
      <c r="W35" s="6" t="s">
        <v>150</v>
      </c>
      <c r="X35" s="5" t="s">
        <v>35</v>
      </c>
      <c r="Y35" s="6" t="s">
        <v>36</v>
      </c>
      <c r="Z35" s="5" t="s">
        <v>66</v>
      </c>
      <c r="AA35" s="6" t="s">
        <v>65</v>
      </c>
      <c r="AB35" s="7">
        <v>7.5393299999999996E-2</v>
      </c>
      <c r="AD35" s="8"/>
      <c r="AF35" s="8"/>
      <c r="AG35" s="8"/>
    </row>
    <row r="36" spans="1:33" x14ac:dyDescent="0.2">
      <c r="A36" s="12">
        <v>3411</v>
      </c>
      <c r="B36" s="13" t="s">
        <v>34</v>
      </c>
      <c r="C36" s="13">
        <v>43299</v>
      </c>
      <c r="D36" s="5">
        <v>14</v>
      </c>
      <c r="E36" s="6" t="s">
        <v>77</v>
      </c>
      <c r="F36" s="5" t="s">
        <v>159</v>
      </c>
      <c r="G36" s="6" t="s">
        <v>158</v>
      </c>
      <c r="H36" s="5" t="str">
        <f>"000014"</f>
        <v>000014</v>
      </c>
      <c r="I36" s="4">
        <v>42704</v>
      </c>
      <c r="J36" s="5" t="str">
        <f>"000010"</f>
        <v>000010</v>
      </c>
      <c r="K36" s="4">
        <v>43095</v>
      </c>
      <c r="L36" s="5" t="str">
        <f>"000009"</f>
        <v>000009</v>
      </c>
      <c r="M36" s="4">
        <v>43095</v>
      </c>
      <c r="N36" s="5">
        <v>16</v>
      </c>
      <c r="O36" s="5" t="str">
        <f>"003746"</f>
        <v>003746</v>
      </c>
      <c r="P36" s="4">
        <v>43294</v>
      </c>
      <c r="Q36" s="7">
        <v>2.2569699999999999</v>
      </c>
      <c r="R36" s="7">
        <v>0.18287</v>
      </c>
      <c r="S36" s="7">
        <v>2.0741000000000001</v>
      </c>
      <c r="T36" s="5">
        <v>127</v>
      </c>
      <c r="U36" s="4">
        <v>43299</v>
      </c>
      <c r="V36" s="5">
        <v>9986319631</v>
      </c>
      <c r="W36" s="6" t="s">
        <v>157</v>
      </c>
      <c r="X36" s="5" t="s">
        <v>61</v>
      </c>
      <c r="Y36" s="6" t="s">
        <v>60</v>
      </c>
      <c r="Z36" s="5" t="s">
        <v>66</v>
      </c>
      <c r="AA36" s="6" t="s">
        <v>65</v>
      </c>
      <c r="AB36" s="7">
        <v>2.2569699999999998E-2</v>
      </c>
      <c r="AD36" s="8"/>
      <c r="AF36" s="8"/>
      <c r="AG36" s="8"/>
    </row>
    <row r="37" spans="1:33" x14ac:dyDescent="0.2">
      <c r="A37" s="12">
        <v>3963</v>
      </c>
      <c r="B37" s="13" t="s">
        <v>34</v>
      </c>
      <c r="C37" s="13">
        <v>43307</v>
      </c>
      <c r="D37" s="5">
        <v>14</v>
      </c>
      <c r="E37" s="6" t="s">
        <v>77</v>
      </c>
      <c r="F37" s="5" t="s">
        <v>156</v>
      </c>
      <c r="G37" s="6" t="s">
        <v>155</v>
      </c>
      <c r="H37" s="5" t="str">
        <f>"000133"</f>
        <v>000133</v>
      </c>
      <c r="I37" s="4">
        <v>42804</v>
      </c>
      <c r="J37" s="5" t="str">
        <f>"000011"</f>
        <v>000011</v>
      </c>
      <c r="K37" s="4">
        <v>42861</v>
      </c>
      <c r="L37" s="5" t="str">
        <f>"000042"</f>
        <v>000042</v>
      </c>
      <c r="M37" s="4">
        <v>42861</v>
      </c>
      <c r="N37" s="5">
        <v>17</v>
      </c>
      <c r="O37" s="5" t="str">
        <f>"003994"</f>
        <v>003994</v>
      </c>
      <c r="P37" s="4">
        <v>43300</v>
      </c>
      <c r="Q37" s="7">
        <v>9.9219899999999992</v>
      </c>
      <c r="R37" s="7">
        <v>0.61173999999999995</v>
      </c>
      <c r="S37" s="7">
        <v>9.3102499999999999</v>
      </c>
      <c r="T37" s="5">
        <v>142</v>
      </c>
      <c r="U37" s="4">
        <v>43307</v>
      </c>
      <c r="V37" s="5">
        <v>9448950759</v>
      </c>
      <c r="W37" s="6" t="s">
        <v>154</v>
      </c>
      <c r="X37" s="5" t="s">
        <v>32</v>
      </c>
      <c r="Y37" s="6" t="s">
        <v>33</v>
      </c>
      <c r="Z37" s="5" t="s">
        <v>72</v>
      </c>
      <c r="AA37" s="6" t="s">
        <v>71</v>
      </c>
      <c r="AB37" s="7">
        <v>9.9219899999999986E-2</v>
      </c>
      <c r="AD37" s="8"/>
      <c r="AF37" s="8"/>
      <c r="AG37" s="8"/>
    </row>
    <row r="38" spans="1:33" x14ac:dyDescent="0.2">
      <c r="A38" s="12">
        <v>4071</v>
      </c>
      <c r="B38" s="13" t="s">
        <v>34</v>
      </c>
      <c r="C38" s="13">
        <v>43308</v>
      </c>
      <c r="D38" s="5">
        <v>14</v>
      </c>
      <c r="E38" s="6" t="s">
        <v>77</v>
      </c>
      <c r="F38" s="5" t="s">
        <v>153</v>
      </c>
      <c r="G38" s="6" t="s">
        <v>152</v>
      </c>
      <c r="H38" s="5" t="str">
        <f>"0011"</f>
        <v>0011</v>
      </c>
      <c r="I38" s="4" t="s">
        <v>151</v>
      </c>
      <c r="J38" s="5" t="str">
        <f>"000014"</f>
        <v>000014</v>
      </c>
      <c r="K38" s="4">
        <v>43105</v>
      </c>
      <c r="L38" s="5" t="str">
        <f>"000015"</f>
        <v>000015</v>
      </c>
      <c r="M38" s="4">
        <v>43105</v>
      </c>
      <c r="N38" s="5">
        <v>16</v>
      </c>
      <c r="O38" s="5" t="str">
        <f>"004449"</f>
        <v>004449</v>
      </c>
      <c r="P38" s="4">
        <v>43307</v>
      </c>
      <c r="Q38" s="7">
        <v>9.4241700000000002</v>
      </c>
      <c r="R38" s="7">
        <v>0.56586999999999998</v>
      </c>
      <c r="S38" s="7">
        <v>8.8582999999999998</v>
      </c>
      <c r="T38" s="5">
        <v>146</v>
      </c>
      <c r="U38" s="4">
        <v>43308</v>
      </c>
      <c r="V38" s="5">
        <v>9448370460</v>
      </c>
      <c r="W38" s="6" t="s">
        <v>150</v>
      </c>
      <c r="X38" s="5" t="s">
        <v>35</v>
      </c>
      <c r="Y38" s="6" t="s">
        <v>36</v>
      </c>
      <c r="Z38" s="5" t="s">
        <v>66</v>
      </c>
      <c r="AA38" s="6" t="s">
        <v>65</v>
      </c>
      <c r="AB38" s="7">
        <v>9.4241699999999998E-2</v>
      </c>
      <c r="AD38" s="8"/>
      <c r="AF38" s="8"/>
      <c r="AG38" s="8"/>
    </row>
    <row r="39" spans="1:33" x14ac:dyDescent="0.2">
      <c r="A39" s="12">
        <v>4217</v>
      </c>
      <c r="B39" s="13" t="s">
        <v>31</v>
      </c>
      <c r="C39" s="13">
        <v>43314</v>
      </c>
      <c r="D39" s="5">
        <v>14</v>
      </c>
      <c r="E39" s="6" t="s">
        <v>77</v>
      </c>
      <c r="F39" s="5" t="s">
        <v>149</v>
      </c>
      <c r="G39" s="6" t="s">
        <v>148</v>
      </c>
      <c r="H39" s="5" t="str">
        <f>"000105"</f>
        <v>000105</v>
      </c>
      <c r="I39" s="4">
        <v>42901</v>
      </c>
      <c r="J39" s="5" t="str">
        <f>"000026"</f>
        <v>000026</v>
      </c>
      <c r="K39" s="4">
        <v>43145</v>
      </c>
      <c r="L39" s="5" t="str">
        <f>"000099"</f>
        <v>000099</v>
      </c>
      <c r="M39" s="4">
        <v>43147</v>
      </c>
      <c r="N39" s="5">
        <v>17</v>
      </c>
      <c r="O39" s="5" t="str">
        <f>"004698"</f>
        <v>004698</v>
      </c>
      <c r="P39" s="4">
        <v>43313</v>
      </c>
      <c r="Q39" s="7">
        <v>16.642320000000002</v>
      </c>
      <c r="R39" s="7">
        <v>1.4861899999999999</v>
      </c>
      <c r="S39" s="7">
        <v>15.156129999999999</v>
      </c>
      <c r="T39" s="5">
        <v>149</v>
      </c>
      <c r="U39" s="4">
        <v>43314</v>
      </c>
      <c r="V39" s="5">
        <v>9449219009</v>
      </c>
      <c r="W39" s="6" t="s">
        <v>50</v>
      </c>
      <c r="X39" s="5" t="s">
        <v>29</v>
      </c>
      <c r="Y39" s="6" t="s">
        <v>30</v>
      </c>
      <c r="Z39" s="5" t="s">
        <v>72</v>
      </c>
      <c r="AA39" s="6" t="s">
        <v>71</v>
      </c>
      <c r="AB39" s="7">
        <v>0.16642320000000002</v>
      </c>
      <c r="AD39" s="8"/>
      <c r="AF39" s="8"/>
      <c r="AG39" s="8"/>
    </row>
    <row r="40" spans="1:33" x14ac:dyDescent="0.2">
      <c r="A40" s="12">
        <v>4368</v>
      </c>
      <c r="B40" s="13" t="s">
        <v>31</v>
      </c>
      <c r="C40" s="13">
        <v>43318</v>
      </c>
      <c r="D40" s="5">
        <v>14</v>
      </c>
      <c r="E40" s="6" t="s">
        <v>77</v>
      </c>
      <c r="F40" s="5" t="s">
        <v>147</v>
      </c>
      <c r="G40" s="6" t="s">
        <v>146</v>
      </c>
      <c r="H40" s="5" t="str">
        <f>"000020"</f>
        <v>000020</v>
      </c>
      <c r="I40" s="4">
        <v>42797</v>
      </c>
      <c r="J40" s="5" t="str">
        <f>"000005"</f>
        <v>000005</v>
      </c>
      <c r="K40" s="4">
        <v>42844</v>
      </c>
      <c r="L40" s="5" t="str">
        <f>"000005"</f>
        <v>000005</v>
      </c>
      <c r="M40" s="4">
        <v>42845</v>
      </c>
      <c r="N40" s="5">
        <v>15</v>
      </c>
      <c r="O40" s="5" t="str">
        <f>"004866"</f>
        <v>004866</v>
      </c>
      <c r="P40" s="4">
        <v>43316</v>
      </c>
      <c r="Q40" s="7">
        <v>4.9905999999999997</v>
      </c>
      <c r="R40" s="7">
        <v>0.60389999999999999</v>
      </c>
      <c r="S40" s="7">
        <v>4.3867000000000003</v>
      </c>
      <c r="T40" s="5">
        <v>158</v>
      </c>
      <c r="U40" s="4">
        <v>43318</v>
      </c>
      <c r="V40" s="5">
        <v>9986313631</v>
      </c>
      <c r="W40" s="6" t="s">
        <v>69</v>
      </c>
      <c r="X40" s="5" t="s">
        <v>68</v>
      </c>
      <c r="Y40" s="6" t="s">
        <v>67</v>
      </c>
      <c r="Z40" s="5" t="s">
        <v>66</v>
      </c>
      <c r="AA40" s="6" t="s">
        <v>65</v>
      </c>
      <c r="AB40" s="7">
        <v>4.9905999999999999E-2</v>
      </c>
      <c r="AD40" s="8"/>
      <c r="AF40" s="8"/>
      <c r="AG40" s="8"/>
    </row>
    <row r="41" spans="1:33" x14ac:dyDescent="0.2">
      <c r="A41" s="12">
        <v>4731</v>
      </c>
      <c r="B41" s="13" t="s">
        <v>31</v>
      </c>
      <c r="C41" s="13">
        <v>43326</v>
      </c>
      <c r="D41" s="5">
        <v>14</v>
      </c>
      <c r="E41" s="6" t="s">
        <v>77</v>
      </c>
      <c r="F41" s="5" t="s">
        <v>145</v>
      </c>
      <c r="G41" s="6" t="s">
        <v>144</v>
      </c>
      <c r="H41" s="5" t="str">
        <f>"000015"</f>
        <v>000015</v>
      </c>
      <c r="I41" s="4">
        <v>42797</v>
      </c>
      <c r="J41" s="5" t="str">
        <f>"000014"</f>
        <v>000014</v>
      </c>
      <c r="K41" s="4">
        <v>42910</v>
      </c>
      <c r="L41" s="5" t="str">
        <f>"000015"</f>
        <v>000015</v>
      </c>
      <c r="M41" s="4">
        <v>42916</v>
      </c>
      <c r="N41" s="5">
        <v>16</v>
      </c>
      <c r="O41" s="5" t="str">
        <f>"005126"</f>
        <v>005126</v>
      </c>
      <c r="P41" s="4">
        <v>43325</v>
      </c>
      <c r="Q41" s="7">
        <v>4.7324200000000003</v>
      </c>
      <c r="R41" s="7">
        <v>0.52534999999999998</v>
      </c>
      <c r="S41" s="7">
        <v>4.2070699999999999</v>
      </c>
      <c r="T41" s="5">
        <v>172</v>
      </c>
      <c r="U41" s="4">
        <v>43326</v>
      </c>
      <c r="V41" s="5">
        <v>9845239239</v>
      </c>
      <c r="W41" s="6" t="s">
        <v>143</v>
      </c>
      <c r="X41" s="5" t="s">
        <v>63</v>
      </c>
      <c r="Y41" s="6" t="s">
        <v>62</v>
      </c>
      <c r="Z41" s="5" t="s">
        <v>66</v>
      </c>
      <c r="AA41" s="6" t="s">
        <v>65</v>
      </c>
      <c r="AB41" s="7">
        <v>4.7324200000000004E-2</v>
      </c>
      <c r="AD41" s="8"/>
      <c r="AF41" s="8"/>
      <c r="AG41" s="8"/>
    </row>
    <row r="42" spans="1:33" x14ac:dyDescent="0.2">
      <c r="A42" s="12">
        <v>5169</v>
      </c>
      <c r="B42" s="13" t="s">
        <v>39</v>
      </c>
      <c r="C42" s="13">
        <v>43346</v>
      </c>
      <c r="D42" s="5">
        <v>14</v>
      </c>
      <c r="E42" s="6" t="s">
        <v>77</v>
      </c>
      <c r="F42" s="5" t="s">
        <v>142</v>
      </c>
      <c r="G42" s="6" t="s">
        <v>141</v>
      </c>
      <c r="H42" s="5" t="str">
        <f>"000200"</f>
        <v>000200</v>
      </c>
      <c r="I42" s="4">
        <v>41648</v>
      </c>
      <c r="J42" s="5" t="str">
        <f>"000044"</f>
        <v>000044</v>
      </c>
      <c r="K42" s="4">
        <v>42152</v>
      </c>
      <c r="L42" s="5" t="str">
        <f>"000504"</f>
        <v>000504</v>
      </c>
      <c r="M42" s="4">
        <v>42671</v>
      </c>
      <c r="N42" s="5">
        <v>14</v>
      </c>
      <c r="O42" s="5" t="str">
        <f>"005554"</f>
        <v>005554</v>
      </c>
      <c r="P42" s="4">
        <v>43341</v>
      </c>
      <c r="Q42" s="7">
        <v>4.1962099999999998</v>
      </c>
      <c r="R42" s="7">
        <v>8.8120000000000004E-2</v>
      </c>
      <c r="S42" s="7">
        <v>4.1080899999999998</v>
      </c>
      <c r="T42" s="5">
        <v>193</v>
      </c>
      <c r="U42" s="4">
        <v>43346</v>
      </c>
      <c r="V42" s="5">
        <v>8884965645</v>
      </c>
      <c r="W42" s="6" t="s">
        <v>140</v>
      </c>
      <c r="X42" s="5" t="s">
        <v>32</v>
      </c>
      <c r="Y42" s="6" t="s">
        <v>33</v>
      </c>
      <c r="Z42" s="5" t="s">
        <v>72</v>
      </c>
      <c r="AA42" s="6" t="s">
        <v>71</v>
      </c>
      <c r="AB42" s="7">
        <f>Q42/100</f>
        <v>4.1962099999999995E-2</v>
      </c>
      <c r="AD42" s="8"/>
      <c r="AF42" s="8"/>
      <c r="AG42" s="8"/>
    </row>
    <row r="43" spans="1:33" x14ac:dyDescent="0.2">
      <c r="A43" s="12">
        <v>5170</v>
      </c>
      <c r="B43" s="13" t="s">
        <v>39</v>
      </c>
      <c r="C43" s="13">
        <v>43346</v>
      </c>
      <c r="D43" s="5">
        <v>14</v>
      </c>
      <c r="E43" s="6" t="s">
        <v>77</v>
      </c>
      <c r="F43" s="5" t="s">
        <v>139</v>
      </c>
      <c r="G43" s="6" t="s">
        <v>138</v>
      </c>
      <c r="H43" s="5" t="str">
        <f>"000014"</f>
        <v>000014</v>
      </c>
      <c r="I43" s="4">
        <v>42501</v>
      </c>
      <c r="J43" s="5" t="str">
        <f>"000168"</f>
        <v>000168</v>
      </c>
      <c r="K43" s="4">
        <v>42800</v>
      </c>
      <c r="L43" s="5" t="str">
        <f>"000690"</f>
        <v>000690</v>
      </c>
      <c r="M43" s="4">
        <v>42822</v>
      </c>
      <c r="N43" s="5">
        <v>16</v>
      </c>
      <c r="O43" s="5" t="str">
        <f>"005555"</f>
        <v>005555</v>
      </c>
      <c r="P43" s="4">
        <v>43341</v>
      </c>
      <c r="Q43" s="7">
        <v>0.98773</v>
      </c>
      <c r="R43" s="7">
        <v>8.8760000000000006E-2</v>
      </c>
      <c r="S43" s="7">
        <v>0.89897000000000005</v>
      </c>
      <c r="T43" s="5">
        <v>193</v>
      </c>
      <c r="U43" s="4">
        <v>43346</v>
      </c>
      <c r="V43" s="5">
        <v>8971783830</v>
      </c>
      <c r="W43" s="6" t="s">
        <v>137</v>
      </c>
      <c r="X43" s="5" t="s">
        <v>32</v>
      </c>
      <c r="Y43" s="6" t="s">
        <v>33</v>
      </c>
      <c r="Z43" s="5" t="s">
        <v>72</v>
      </c>
      <c r="AA43" s="6" t="s">
        <v>71</v>
      </c>
      <c r="AB43" s="7">
        <f>Q43/100</f>
        <v>9.8773000000000003E-3</v>
      </c>
      <c r="AD43" s="8"/>
      <c r="AF43" s="8"/>
      <c r="AG43" s="8"/>
    </row>
    <row r="44" spans="1:33" x14ac:dyDescent="0.2">
      <c r="A44" s="12">
        <v>5171</v>
      </c>
      <c r="B44" s="13" t="s">
        <v>39</v>
      </c>
      <c r="C44" s="13">
        <v>43346</v>
      </c>
      <c r="D44" s="5">
        <v>14</v>
      </c>
      <c r="E44" s="6" t="s">
        <v>77</v>
      </c>
      <c r="F44" s="5" t="s">
        <v>136</v>
      </c>
      <c r="G44" s="6" t="s">
        <v>135</v>
      </c>
      <c r="H44" s="5" t="str">
        <f>"000037"</f>
        <v>000037</v>
      </c>
      <c r="I44" s="4">
        <v>42453</v>
      </c>
      <c r="J44" s="5" t="str">
        <f>"000167"</f>
        <v>000167</v>
      </c>
      <c r="K44" s="4">
        <v>42800</v>
      </c>
      <c r="L44" s="5" t="str">
        <f>"000691"</f>
        <v>000691</v>
      </c>
      <c r="M44" s="4">
        <v>42822</v>
      </c>
      <c r="N44" s="5">
        <v>16</v>
      </c>
      <c r="O44" s="5" t="str">
        <f>"005558"</f>
        <v>005558</v>
      </c>
      <c r="P44" s="4">
        <v>43341</v>
      </c>
      <c r="Q44" s="7">
        <v>3.1673100000000001</v>
      </c>
      <c r="R44" s="7">
        <v>0.19320000000000001</v>
      </c>
      <c r="S44" s="7">
        <v>2.97411</v>
      </c>
      <c r="T44" s="5">
        <v>193</v>
      </c>
      <c r="U44" s="4">
        <v>43346</v>
      </c>
      <c r="V44" s="5">
        <v>8105484756</v>
      </c>
      <c r="W44" s="6" t="s">
        <v>134</v>
      </c>
      <c r="X44" s="5" t="s">
        <v>32</v>
      </c>
      <c r="Y44" s="6" t="s">
        <v>33</v>
      </c>
      <c r="Z44" s="5" t="s">
        <v>72</v>
      </c>
      <c r="AA44" s="6" t="s">
        <v>71</v>
      </c>
      <c r="AB44" s="7">
        <f>Q44/100</f>
        <v>3.1673100000000003E-2</v>
      </c>
      <c r="AD44" s="8"/>
      <c r="AF44" s="8"/>
      <c r="AG44" s="8"/>
    </row>
    <row r="45" spans="1:33" x14ac:dyDescent="0.2">
      <c r="A45" s="12">
        <v>5172</v>
      </c>
      <c r="B45" s="13" t="s">
        <v>39</v>
      </c>
      <c r="C45" s="13">
        <v>43346</v>
      </c>
      <c r="D45" s="5">
        <v>14</v>
      </c>
      <c r="E45" s="6" t="s">
        <v>77</v>
      </c>
      <c r="F45" s="5" t="s">
        <v>133</v>
      </c>
      <c r="G45" s="6" t="s">
        <v>132</v>
      </c>
      <c r="H45" s="5" t="str">
        <f>"000090"</f>
        <v>000090</v>
      </c>
      <c r="I45" s="4">
        <v>42710</v>
      </c>
      <c r="J45" s="5" t="str">
        <f>"000192"</f>
        <v>000192</v>
      </c>
      <c r="K45" s="4">
        <v>42825</v>
      </c>
      <c r="L45" s="5" t="str">
        <f>"000700"</f>
        <v>000700</v>
      </c>
      <c r="M45" s="4">
        <v>42825</v>
      </c>
      <c r="N45" s="5">
        <v>17</v>
      </c>
      <c r="O45" s="5" t="str">
        <f>"005559"</f>
        <v>005559</v>
      </c>
      <c r="P45" s="4">
        <v>43341</v>
      </c>
      <c r="Q45" s="7">
        <v>48.689909999999998</v>
      </c>
      <c r="R45" s="7">
        <v>6.4883600000000001</v>
      </c>
      <c r="S45" s="7">
        <v>42.201549999999997</v>
      </c>
      <c r="T45" s="5">
        <v>193</v>
      </c>
      <c r="U45" s="4">
        <v>43346</v>
      </c>
      <c r="V45" s="5">
        <v>9449219009</v>
      </c>
      <c r="W45" s="6" t="s">
        <v>50</v>
      </c>
      <c r="X45" s="5" t="s">
        <v>44</v>
      </c>
      <c r="Y45" s="6" t="s">
        <v>45</v>
      </c>
      <c r="Z45" s="5" t="s">
        <v>72</v>
      </c>
      <c r="AA45" s="6" t="s">
        <v>71</v>
      </c>
      <c r="AB45" s="7">
        <f>Q45/100</f>
        <v>0.48689909999999997</v>
      </c>
      <c r="AD45" s="8"/>
      <c r="AF45" s="8"/>
      <c r="AG45" s="8"/>
    </row>
    <row r="46" spans="1:33" x14ac:dyDescent="0.2">
      <c r="A46" s="12">
        <v>5173</v>
      </c>
      <c r="B46" s="13" t="s">
        <v>39</v>
      </c>
      <c r="C46" s="13">
        <v>43346</v>
      </c>
      <c r="D46" s="5">
        <v>14</v>
      </c>
      <c r="E46" s="6" t="s">
        <v>77</v>
      </c>
      <c r="F46" s="5" t="s">
        <v>131</v>
      </c>
      <c r="G46" s="6" t="s">
        <v>130</v>
      </c>
      <c r="H46" s="5" t="str">
        <f>"000091"</f>
        <v>000091</v>
      </c>
      <c r="I46" s="4">
        <v>42710</v>
      </c>
      <c r="J46" s="5" t="str">
        <f>"000193"</f>
        <v>000193</v>
      </c>
      <c r="K46" s="4">
        <v>42825</v>
      </c>
      <c r="L46" s="5" t="str">
        <f>"000701"</f>
        <v>000701</v>
      </c>
      <c r="M46" s="4">
        <v>42825</v>
      </c>
      <c r="N46" s="5">
        <v>17</v>
      </c>
      <c r="O46" s="5" t="str">
        <f>"005560"</f>
        <v>005560</v>
      </c>
      <c r="P46" s="4">
        <v>43341</v>
      </c>
      <c r="Q46" s="7">
        <v>48.949919999999999</v>
      </c>
      <c r="R46" s="7">
        <v>6.5211399999999999</v>
      </c>
      <c r="S46" s="7">
        <v>42.428780000000003</v>
      </c>
      <c r="T46" s="5">
        <v>193</v>
      </c>
      <c r="U46" s="4">
        <v>43346</v>
      </c>
      <c r="V46" s="5">
        <v>9449219009</v>
      </c>
      <c r="W46" s="6" t="s">
        <v>50</v>
      </c>
      <c r="X46" s="5" t="s">
        <v>44</v>
      </c>
      <c r="Y46" s="6" t="s">
        <v>45</v>
      </c>
      <c r="Z46" s="5" t="s">
        <v>72</v>
      </c>
      <c r="AA46" s="6" t="s">
        <v>71</v>
      </c>
      <c r="AB46" s="7">
        <f>Q46/100</f>
        <v>0.48949919999999997</v>
      </c>
      <c r="AD46" s="8"/>
      <c r="AF46" s="8"/>
      <c r="AG46" s="8"/>
    </row>
    <row r="47" spans="1:33" x14ac:dyDescent="0.2">
      <c r="A47" s="12">
        <v>5531</v>
      </c>
      <c r="B47" s="13" t="s">
        <v>39</v>
      </c>
      <c r="C47" s="13">
        <v>43362</v>
      </c>
      <c r="D47" s="5">
        <v>14</v>
      </c>
      <c r="E47" s="6" t="s">
        <v>77</v>
      </c>
      <c r="F47" s="5" t="s">
        <v>129</v>
      </c>
      <c r="G47" s="6" t="s">
        <v>128</v>
      </c>
      <c r="H47" s="5" t="str">
        <f>"000377"</f>
        <v>000377</v>
      </c>
      <c r="I47" s="4">
        <v>43186</v>
      </c>
      <c r="J47" s="5" t="str">
        <f>"000052"</f>
        <v>000052</v>
      </c>
      <c r="K47" s="4">
        <v>43321</v>
      </c>
      <c r="L47" s="5" t="str">
        <f>"000164"</f>
        <v>000164</v>
      </c>
      <c r="M47" s="4">
        <v>43326</v>
      </c>
      <c r="N47" s="5">
        <v>18</v>
      </c>
      <c r="O47" s="5" t="str">
        <f>"005794"</f>
        <v>005794</v>
      </c>
      <c r="P47" s="4">
        <v>43361</v>
      </c>
      <c r="Q47" s="7">
        <v>24.93918</v>
      </c>
      <c r="R47" s="7">
        <v>2.1152799999999998</v>
      </c>
      <c r="S47" s="7">
        <v>22.823899999999998</v>
      </c>
      <c r="T47" s="5">
        <v>206</v>
      </c>
      <c r="U47" s="4">
        <v>43362</v>
      </c>
      <c r="V47" s="5">
        <v>9743188999</v>
      </c>
      <c r="W47" s="6" t="s">
        <v>50</v>
      </c>
      <c r="X47" s="5" t="s">
        <v>46</v>
      </c>
      <c r="Y47" s="6" t="s">
        <v>47</v>
      </c>
      <c r="Z47" s="5" t="s">
        <v>72</v>
      </c>
      <c r="AA47" s="6" t="s">
        <v>71</v>
      </c>
      <c r="AB47" s="7">
        <f>Q47/100</f>
        <v>0.2493918</v>
      </c>
      <c r="AD47" s="8"/>
      <c r="AF47" s="8"/>
      <c r="AG47" s="8"/>
    </row>
    <row r="48" spans="1:33" x14ac:dyDescent="0.2">
      <c r="A48" s="12">
        <v>5532</v>
      </c>
      <c r="B48" s="13" t="s">
        <v>39</v>
      </c>
      <c r="C48" s="13">
        <v>43362</v>
      </c>
      <c r="D48" s="5">
        <v>14</v>
      </c>
      <c r="E48" s="6" t="s">
        <v>77</v>
      </c>
      <c r="F48" s="5" t="s">
        <v>127</v>
      </c>
      <c r="G48" s="6" t="s">
        <v>126</v>
      </c>
      <c r="H48" s="5" t="str">
        <f>"000106"</f>
        <v>000106</v>
      </c>
      <c r="I48" s="4">
        <v>42742</v>
      </c>
      <c r="J48" s="5" t="str">
        <f>"000194"</f>
        <v>000194</v>
      </c>
      <c r="K48" s="4">
        <v>42825</v>
      </c>
      <c r="L48" s="5" t="str">
        <f>"000702"</f>
        <v>000702</v>
      </c>
      <c r="M48" s="4">
        <v>42825</v>
      </c>
      <c r="N48" s="5">
        <v>16</v>
      </c>
      <c r="O48" s="5" t="str">
        <f>"005661"</f>
        <v>005661</v>
      </c>
      <c r="P48" s="4">
        <v>43349</v>
      </c>
      <c r="Q48" s="7">
        <v>44.95919</v>
      </c>
      <c r="R48" s="7">
        <v>3.3768799999999999</v>
      </c>
      <c r="S48" s="7">
        <v>41.58231</v>
      </c>
      <c r="T48" s="5">
        <v>207</v>
      </c>
      <c r="U48" s="4">
        <v>43362</v>
      </c>
      <c r="V48" s="5">
        <v>9743188999</v>
      </c>
      <c r="W48" s="6" t="s">
        <v>125</v>
      </c>
      <c r="X48" s="5" t="s">
        <v>54</v>
      </c>
      <c r="Y48" s="6" t="s">
        <v>53</v>
      </c>
      <c r="Z48" s="5" t="s">
        <v>72</v>
      </c>
      <c r="AA48" s="6" t="s">
        <v>71</v>
      </c>
      <c r="AB48" s="7">
        <f>Q48/100</f>
        <v>0.44959189999999999</v>
      </c>
      <c r="AD48" s="8"/>
      <c r="AF48" s="8"/>
      <c r="AG48" s="8"/>
    </row>
    <row r="49" spans="1:33" x14ac:dyDescent="0.2">
      <c r="A49" s="12">
        <v>5926</v>
      </c>
      <c r="B49" s="13" t="s">
        <v>55</v>
      </c>
      <c r="C49" s="13">
        <v>43385</v>
      </c>
      <c r="D49" s="5">
        <v>14</v>
      </c>
      <c r="E49" s="6" t="s">
        <v>77</v>
      </c>
      <c r="F49" s="5" t="s">
        <v>124</v>
      </c>
      <c r="G49" s="6" t="s">
        <v>123</v>
      </c>
      <c r="H49" s="5" t="str">
        <f>"000030"</f>
        <v>000030</v>
      </c>
      <c r="I49" s="4">
        <v>42835</v>
      </c>
      <c r="J49" s="5" t="str">
        <f>"000028"</f>
        <v>000028</v>
      </c>
      <c r="K49" s="4">
        <v>42853</v>
      </c>
      <c r="L49" s="5" t="str">
        <f>"000028"</f>
        <v>000028</v>
      </c>
      <c r="M49" s="4">
        <v>42853</v>
      </c>
      <c r="N49" s="5">
        <v>17</v>
      </c>
      <c r="O49" s="5" t="str">
        <f>"006022"</f>
        <v>006022</v>
      </c>
      <c r="P49" s="4">
        <v>43374</v>
      </c>
      <c r="Q49" s="7">
        <v>18.14941</v>
      </c>
      <c r="R49" s="7">
        <v>1.2968200000000001</v>
      </c>
      <c r="S49" s="7">
        <v>16.852589999999999</v>
      </c>
      <c r="T49" s="5">
        <v>230</v>
      </c>
      <c r="U49" s="4">
        <v>43385</v>
      </c>
      <c r="V49" s="5">
        <v>8197839023</v>
      </c>
      <c r="W49" s="6" t="s">
        <v>122</v>
      </c>
      <c r="X49" s="5" t="s">
        <v>32</v>
      </c>
      <c r="Y49" s="6" t="s">
        <v>33</v>
      </c>
      <c r="Z49" s="5" t="s">
        <v>72</v>
      </c>
      <c r="AA49" s="6" t="s">
        <v>71</v>
      </c>
      <c r="AB49" s="7">
        <f>Q49/100</f>
        <v>0.18149409999999999</v>
      </c>
      <c r="AD49" s="8"/>
      <c r="AF49" s="8"/>
      <c r="AG49" s="8"/>
    </row>
    <row r="50" spans="1:33" x14ac:dyDescent="0.2">
      <c r="A50" s="12">
        <v>5927</v>
      </c>
      <c r="B50" s="13" t="s">
        <v>55</v>
      </c>
      <c r="C50" s="13">
        <v>43385</v>
      </c>
      <c r="D50" s="5">
        <v>14</v>
      </c>
      <c r="E50" s="6" t="s">
        <v>77</v>
      </c>
      <c r="F50" s="5" t="s">
        <v>121</v>
      </c>
      <c r="G50" s="6" t="s">
        <v>120</v>
      </c>
      <c r="H50" s="5" t="str">
        <f>"000103"</f>
        <v>000103</v>
      </c>
      <c r="I50" s="4">
        <v>42742</v>
      </c>
      <c r="J50" s="5" t="str">
        <f>"000008"</f>
        <v>000008</v>
      </c>
      <c r="K50" s="4">
        <v>42849</v>
      </c>
      <c r="L50" s="5" t="str">
        <f>"000032"</f>
        <v>000032</v>
      </c>
      <c r="M50" s="4">
        <v>42853</v>
      </c>
      <c r="N50" s="5">
        <v>16</v>
      </c>
      <c r="O50" s="5" t="str">
        <f>"006062"</f>
        <v>006062</v>
      </c>
      <c r="P50" s="4">
        <v>43374</v>
      </c>
      <c r="Q50" s="7">
        <v>25.322489999999998</v>
      </c>
      <c r="R50" s="7">
        <v>1.90618</v>
      </c>
      <c r="S50" s="7">
        <v>23.416309999999999</v>
      </c>
      <c r="T50" s="5">
        <v>230</v>
      </c>
      <c r="U50" s="4">
        <v>43385</v>
      </c>
      <c r="V50" s="5">
        <v>9845632291</v>
      </c>
      <c r="W50" s="6" t="s">
        <v>119</v>
      </c>
      <c r="X50" s="5" t="s">
        <v>54</v>
      </c>
      <c r="Y50" s="6" t="s">
        <v>53</v>
      </c>
      <c r="Z50" s="5" t="s">
        <v>72</v>
      </c>
      <c r="AA50" s="6" t="s">
        <v>71</v>
      </c>
      <c r="AB50" s="7">
        <f>Q50/100</f>
        <v>0.25322489999999998</v>
      </c>
      <c r="AD50" s="8"/>
      <c r="AF50" s="8"/>
      <c r="AG50" s="8"/>
    </row>
    <row r="51" spans="1:33" x14ac:dyDescent="0.2">
      <c r="A51" s="12">
        <v>5928</v>
      </c>
      <c r="B51" s="13" t="s">
        <v>55</v>
      </c>
      <c r="C51" s="13">
        <v>43385</v>
      </c>
      <c r="D51" s="5">
        <v>14</v>
      </c>
      <c r="E51" s="6" t="s">
        <v>77</v>
      </c>
      <c r="F51" s="5" t="s">
        <v>118</v>
      </c>
      <c r="G51" s="6" t="s">
        <v>117</v>
      </c>
      <c r="H51" s="5" t="str">
        <f>"000102"</f>
        <v>000102</v>
      </c>
      <c r="I51" s="4">
        <v>42742</v>
      </c>
      <c r="J51" s="5" t="str">
        <f>"000007"</f>
        <v>000007</v>
      </c>
      <c r="K51" s="4">
        <v>42849</v>
      </c>
      <c r="L51" s="5" t="str">
        <f>"000033"</f>
        <v>000033</v>
      </c>
      <c r="M51" s="4">
        <v>42853</v>
      </c>
      <c r="N51" s="5">
        <v>16</v>
      </c>
      <c r="O51" s="5" t="str">
        <f>"006063"</f>
        <v>006063</v>
      </c>
      <c r="P51" s="4">
        <v>43374</v>
      </c>
      <c r="Q51" s="7">
        <v>34.287260000000003</v>
      </c>
      <c r="R51" s="7">
        <v>2.5808200000000001</v>
      </c>
      <c r="S51" s="7">
        <v>31.706440000000001</v>
      </c>
      <c r="T51" s="5">
        <v>230</v>
      </c>
      <c r="U51" s="4">
        <v>43385</v>
      </c>
      <c r="V51" s="5">
        <v>9980999698</v>
      </c>
      <c r="W51" s="6" t="s">
        <v>116</v>
      </c>
      <c r="X51" s="5" t="s">
        <v>54</v>
      </c>
      <c r="Y51" s="6" t="s">
        <v>53</v>
      </c>
      <c r="Z51" s="5" t="s">
        <v>72</v>
      </c>
      <c r="AA51" s="6" t="s">
        <v>71</v>
      </c>
      <c r="AB51" s="7">
        <f>Q51/100</f>
        <v>0.34287260000000003</v>
      </c>
      <c r="AD51" s="8"/>
      <c r="AF51" s="8"/>
      <c r="AG51" s="8"/>
    </row>
    <row r="52" spans="1:33" x14ac:dyDescent="0.2">
      <c r="A52" s="12">
        <v>5929</v>
      </c>
      <c r="B52" s="13" t="s">
        <v>55</v>
      </c>
      <c r="C52" s="13">
        <v>43385</v>
      </c>
      <c r="D52" s="5">
        <v>14</v>
      </c>
      <c r="E52" s="6" t="s">
        <v>77</v>
      </c>
      <c r="F52" s="5" t="s">
        <v>115</v>
      </c>
      <c r="G52" s="6" t="s">
        <v>114</v>
      </c>
      <c r="H52" s="5" t="str">
        <f>"000199"</f>
        <v>000199</v>
      </c>
      <c r="I52" s="4">
        <v>41648</v>
      </c>
      <c r="J52" s="5" t="str">
        <f>"000043"</f>
        <v>000043</v>
      </c>
      <c r="K52" s="4">
        <v>42152</v>
      </c>
      <c r="L52" s="5" t="str">
        <f>"000505"</f>
        <v>000505</v>
      </c>
      <c r="M52" s="4">
        <v>42671</v>
      </c>
      <c r="N52" s="5">
        <v>14</v>
      </c>
      <c r="O52" s="5" t="str">
        <f>"006076"</f>
        <v>006076</v>
      </c>
      <c r="P52" s="4">
        <v>43374</v>
      </c>
      <c r="Q52" s="7">
        <v>3.76932</v>
      </c>
      <c r="R52" s="7">
        <v>7.9149999999999998E-2</v>
      </c>
      <c r="S52" s="7">
        <v>3.6901700000000002</v>
      </c>
      <c r="T52" s="5">
        <v>231</v>
      </c>
      <c r="U52" s="4">
        <v>43385</v>
      </c>
      <c r="V52" s="5">
        <v>8884965645</v>
      </c>
      <c r="W52" s="6" t="s">
        <v>113</v>
      </c>
      <c r="X52" s="5" t="s">
        <v>32</v>
      </c>
      <c r="Y52" s="6" t="s">
        <v>33</v>
      </c>
      <c r="Z52" s="5" t="s">
        <v>72</v>
      </c>
      <c r="AA52" s="6" t="s">
        <v>71</v>
      </c>
      <c r="AB52" s="7">
        <f>Q52/100</f>
        <v>3.7693200000000003E-2</v>
      </c>
      <c r="AD52" s="8"/>
      <c r="AF52" s="8"/>
      <c r="AG52" s="8"/>
    </row>
    <row r="53" spans="1:33" x14ac:dyDescent="0.2">
      <c r="A53" s="12">
        <v>6479</v>
      </c>
      <c r="B53" s="13" t="s">
        <v>55</v>
      </c>
      <c r="C53" s="13">
        <v>43389</v>
      </c>
      <c r="D53" s="5">
        <v>14</v>
      </c>
      <c r="E53" s="6" t="s">
        <v>77</v>
      </c>
      <c r="F53" s="5" t="s">
        <v>112</v>
      </c>
      <c r="G53" s="6" t="s">
        <v>111</v>
      </c>
      <c r="H53" s="5" t="str">
        <f>"000019"</f>
        <v>000019</v>
      </c>
      <c r="I53" s="4">
        <v>42832</v>
      </c>
      <c r="J53" s="5" t="str">
        <f>"000012"</f>
        <v>000012</v>
      </c>
      <c r="K53" s="4">
        <v>42875</v>
      </c>
      <c r="L53" s="5" t="str">
        <f>"000043"</f>
        <v>000043</v>
      </c>
      <c r="M53" s="4">
        <v>42877</v>
      </c>
      <c r="N53" s="5">
        <v>17</v>
      </c>
      <c r="O53" s="5" t="str">
        <f>"006563"</f>
        <v>006563</v>
      </c>
      <c r="P53" s="4">
        <v>43383</v>
      </c>
      <c r="Q53" s="7">
        <v>17.387160000000002</v>
      </c>
      <c r="R53" s="7">
        <v>1.27796</v>
      </c>
      <c r="S53" s="7">
        <v>16.109200000000001</v>
      </c>
      <c r="T53" s="5">
        <v>243</v>
      </c>
      <c r="U53" s="4">
        <v>43389</v>
      </c>
      <c r="V53" s="5">
        <v>9972204400</v>
      </c>
      <c r="W53" s="6" t="s">
        <v>80</v>
      </c>
      <c r="X53" s="5" t="s">
        <v>79</v>
      </c>
      <c r="Y53" s="6" t="s">
        <v>78</v>
      </c>
      <c r="Z53" s="5" t="s">
        <v>72</v>
      </c>
      <c r="AA53" s="6" t="s">
        <v>71</v>
      </c>
      <c r="AB53" s="7">
        <f>Q53/100</f>
        <v>0.17387160000000002</v>
      </c>
      <c r="AD53" s="8"/>
      <c r="AF53" s="8"/>
      <c r="AG53" s="8"/>
    </row>
    <row r="54" spans="1:33" x14ac:dyDescent="0.2">
      <c r="A54" s="12">
        <v>6480</v>
      </c>
      <c r="B54" s="13" t="s">
        <v>55</v>
      </c>
      <c r="C54" s="13">
        <v>43389</v>
      </c>
      <c r="D54" s="5">
        <v>14</v>
      </c>
      <c r="E54" s="6" t="s">
        <v>77</v>
      </c>
      <c r="F54" s="5" t="s">
        <v>110</v>
      </c>
      <c r="G54" s="6" t="s">
        <v>109</v>
      </c>
      <c r="H54" s="5" t="str">
        <f>"0000O5"</f>
        <v>0000O5</v>
      </c>
      <c r="I54" s="4">
        <v>42832</v>
      </c>
      <c r="J54" s="5" t="str">
        <f>"000015"</f>
        <v>000015</v>
      </c>
      <c r="K54" s="4">
        <v>42875</v>
      </c>
      <c r="L54" s="5" t="str">
        <f>"000045"</f>
        <v>000045</v>
      </c>
      <c r="M54" s="4">
        <v>42877</v>
      </c>
      <c r="N54" s="5">
        <v>17</v>
      </c>
      <c r="O54" s="5" t="str">
        <f>"006565"</f>
        <v>006565</v>
      </c>
      <c r="P54" s="4">
        <v>43383</v>
      </c>
      <c r="Q54" s="7">
        <v>15.85163</v>
      </c>
      <c r="R54" s="7">
        <v>1.2047399999999999</v>
      </c>
      <c r="S54" s="7">
        <v>14.646890000000001</v>
      </c>
      <c r="T54" s="5">
        <v>243</v>
      </c>
      <c r="U54" s="4">
        <v>43389</v>
      </c>
      <c r="V54" s="5">
        <v>9900175940</v>
      </c>
      <c r="W54" s="6" t="s">
        <v>80</v>
      </c>
      <c r="X54" s="5" t="s">
        <v>32</v>
      </c>
      <c r="Y54" s="6" t="s">
        <v>33</v>
      </c>
      <c r="Z54" s="5" t="s">
        <v>72</v>
      </c>
      <c r="AA54" s="6" t="s">
        <v>71</v>
      </c>
      <c r="AB54" s="7">
        <f>Q54/100</f>
        <v>0.1585163</v>
      </c>
      <c r="AD54" s="8"/>
      <c r="AF54" s="8"/>
      <c r="AG54" s="8"/>
    </row>
    <row r="55" spans="1:33" x14ac:dyDescent="0.2">
      <c r="A55" s="12">
        <v>6481</v>
      </c>
      <c r="B55" s="13" t="s">
        <v>55</v>
      </c>
      <c r="C55" s="13">
        <v>43389</v>
      </c>
      <c r="D55" s="5">
        <v>14</v>
      </c>
      <c r="E55" s="6" t="s">
        <v>77</v>
      </c>
      <c r="F55" s="5" t="s">
        <v>108</v>
      </c>
      <c r="G55" s="6" t="s">
        <v>107</v>
      </c>
      <c r="H55" s="5" t="str">
        <f>"000016"</f>
        <v>000016</v>
      </c>
      <c r="I55" s="4">
        <v>42839</v>
      </c>
      <c r="J55" s="5" t="str">
        <f>"000017"</f>
        <v>000017</v>
      </c>
      <c r="K55" s="4">
        <v>42875</v>
      </c>
      <c r="L55" s="5" t="str">
        <f>"000047"</f>
        <v>000047</v>
      </c>
      <c r="M55" s="4">
        <v>42877</v>
      </c>
      <c r="N55" s="5">
        <v>17</v>
      </c>
      <c r="O55" s="5" t="str">
        <f>"006566"</f>
        <v>006566</v>
      </c>
      <c r="P55" s="4">
        <v>43383</v>
      </c>
      <c r="Q55" s="7">
        <v>17.401610000000002</v>
      </c>
      <c r="R55" s="7">
        <v>1.2790299999999999</v>
      </c>
      <c r="S55" s="7">
        <v>16.122579999999999</v>
      </c>
      <c r="T55" s="5">
        <v>243</v>
      </c>
      <c r="U55" s="4">
        <v>43389</v>
      </c>
      <c r="V55" s="5">
        <v>9900175940</v>
      </c>
      <c r="W55" s="6" t="s">
        <v>80</v>
      </c>
      <c r="X55" s="5" t="s">
        <v>79</v>
      </c>
      <c r="Y55" s="6" t="s">
        <v>78</v>
      </c>
      <c r="Z55" s="5" t="s">
        <v>72</v>
      </c>
      <c r="AA55" s="6" t="s">
        <v>71</v>
      </c>
      <c r="AB55" s="7">
        <f>Q55/100</f>
        <v>0.17401610000000001</v>
      </c>
      <c r="AD55" s="8"/>
      <c r="AF55" s="8"/>
      <c r="AG55" s="8"/>
    </row>
    <row r="56" spans="1:33" x14ac:dyDescent="0.2">
      <c r="A56" s="12">
        <v>6482</v>
      </c>
      <c r="B56" s="13" t="s">
        <v>55</v>
      </c>
      <c r="C56" s="13">
        <v>43389</v>
      </c>
      <c r="D56" s="5">
        <v>14</v>
      </c>
      <c r="E56" s="6" t="s">
        <v>77</v>
      </c>
      <c r="F56" s="5" t="s">
        <v>106</v>
      </c>
      <c r="G56" s="6" t="s">
        <v>105</v>
      </c>
      <c r="H56" s="5" t="str">
        <f>"000005"</f>
        <v>000005</v>
      </c>
      <c r="I56" s="4">
        <v>42832</v>
      </c>
      <c r="J56" s="5" t="str">
        <f>"000O14"</f>
        <v>000O14</v>
      </c>
      <c r="K56" s="4">
        <v>42875</v>
      </c>
      <c r="L56" s="5" t="str">
        <f>"000048"</f>
        <v>000048</v>
      </c>
      <c r="M56" s="4">
        <v>42877</v>
      </c>
      <c r="N56" s="5">
        <v>17</v>
      </c>
      <c r="O56" s="5" t="str">
        <f>"006567"</f>
        <v>006567</v>
      </c>
      <c r="P56" s="4">
        <v>43383</v>
      </c>
      <c r="Q56" s="7">
        <v>17.768640000000001</v>
      </c>
      <c r="R56" s="7">
        <v>1.35043</v>
      </c>
      <c r="S56" s="7">
        <v>16.418209999999998</v>
      </c>
      <c r="T56" s="5">
        <v>243</v>
      </c>
      <c r="U56" s="4">
        <v>43389</v>
      </c>
      <c r="V56" s="5">
        <v>9900175940</v>
      </c>
      <c r="W56" s="6" t="s">
        <v>80</v>
      </c>
      <c r="X56" s="5" t="s">
        <v>32</v>
      </c>
      <c r="Y56" s="6" t="s">
        <v>33</v>
      </c>
      <c r="Z56" s="5" t="s">
        <v>72</v>
      </c>
      <c r="AA56" s="6" t="s">
        <v>71</v>
      </c>
      <c r="AB56" s="7">
        <f>Q56/100</f>
        <v>0.17768640000000002</v>
      </c>
      <c r="AD56" s="8"/>
      <c r="AF56" s="8"/>
      <c r="AG56" s="8"/>
    </row>
    <row r="57" spans="1:33" x14ac:dyDescent="0.2">
      <c r="A57" s="12">
        <v>6977</v>
      </c>
      <c r="B57" s="13" t="s">
        <v>55</v>
      </c>
      <c r="C57" s="13">
        <v>43403</v>
      </c>
      <c r="D57" s="5">
        <v>14</v>
      </c>
      <c r="E57" s="6" t="s">
        <v>77</v>
      </c>
      <c r="F57" s="5" t="s">
        <v>104</v>
      </c>
      <c r="G57" s="6" t="s">
        <v>103</v>
      </c>
      <c r="H57" s="5" t="str">
        <f>"000404"</f>
        <v>000404</v>
      </c>
      <c r="I57" s="4">
        <v>42094</v>
      </c>
      <c r="J57" s="5" t="str">
        <f>"000070"</f>
        <v>000070</v>
      </c>
      <c r="K57" s="4">
        <v>42551</v>
      </c>
      <c r="L57" s="5" t="str">
        <f>"000260"</f>
        <v>000260</v>
      </c>
      <c r="M57" s="4">
        <v>42559</v>
      </c>
      <c r="N57" s="5">
        <v>15</v>
      </c>
      <c r="O57" s="5" t="str">
        <f>"006929"</f>
        <v>006929</v>
      </c>
      <c r="P57" s="4">
        <v>43398</v>
      </c>
      <c r="Q57" s="7">
        <v>7.4824700000000002</v>
      </c>
      <c r="R57" s="7">
        <v>0.15712000000000001</v>
      </c>
      <c r="S57" s="7">
        <v>7.3253500000000003</v>
      </c>
      <c r="T57" s="5">
        <v>254</v>
      </c>
      <c r="U57" s="4">
        <v>43403</v>
      </c>
      <c r="V57" s="5">
        <v>9731223456</v>
      </c>
      <c r="W57" s="6" t="s">
        <v>102</v>
      </c>
      <c r="X57" s="5" t="s">
        <v>32</v>
      </c>
      <c r="Y57" s="6" t="s">
        <v>33</v>
      </c>
      <c r="Z57" s="5" t="s">
        <v>72</v>
      </c>
      <c r="AA57" s="6" t="s">
        <v>71</v>
      </c>
      <c r="AB57" s="7">
        <f>Q57/100</f>
        <v>7.4824700000000008E-2</v>
      </c>
      <c r="AD57" s="8"/>
      <c r="AF57" s="8"/>
      <c r="AG57" s="8"/>
    </row>
    <row r="58" spans="1:33" x14ac:dyDescent="0.2">
      <c r="A58" s="12">
        <v>7191</v>
      </c>
      <c r="B58" s="13" t="s">
        <v>51</v>
      </c>
      <c r="C58" s="13">
        <v>43420</v>
      </c>
      <c r="D58" s="5">
        <v>14</v>
      </c>
      <c r="E58" s="6" t="s">
        <v>77</v>
      </c>
      <c r="F58" s="5" t="s">
        <v>101</v>
      </c>
      <c r="G58" s="6" t="s">
        <v>100</v>
      </c>
      <c r="H58" s="5" t="str">
        <f>"000020"</f>
        <v>000020</v>
      </c>
      <c r="I58" s="4">
        <v>42832</v>
      </c>
      <c r="J58" s="5" t="str">
        <f>"000016"</f>
        <v>000016</v>
      </c>
      <c r="K58" s="4">
        <v>42875</v>
      </c>
      <c r="L58" s="5" t="str">
        <f>"000046"</f>
        <v>000046</v>
      </c>
      <c r="M58" s="4">
        <v>42877</v>
      </c>
      <c r="N58" s="5">
        <v>17</v>
      </c>
      <c r="O58" s="5" t="str">
        <f>"007295"</f>
        <v>007295</v>
      </c>
      <c r="P58" s="4">
        <v>43407</v>
      </c>
      <c r="Q58" s="7">
        <v>17.38625</v>
      </c>
      <c r="R58" s="7">
        <v>1.27789</v>
      </c>
      <c r="S58" s="7">
        <v>16.108360000000001</v>
      </c>
      <c r="T58" s="5">
        <v>266</v>
      </c>
      <c r="U58" s="4">
        <v>43420</v>
      </c>
      <c r="V58" s="5">
        <v>9900175940</v>
      </c>
      <c r="W58" s="6" t="s">
        <v>80</v>
      </c>
      <c r="X58" s="5" t="s">
        <v>79</v>
      </c>
      <c r="Y58" s="6" t="s">
        <v>78</v>
      </c>
      <c r="Z58" s="5" t="s">
        <v>72</v>
      </c>
      <c r="AA58" s="6" t="s">
        <v>71</v>
      </c>
      <c r="AB58" s="7">
        <f>Q58/100</f>
        <v>0.1738625</v>
      </c>
      <c r="AD58" s="8"/>
      <c r="AF58" s="8"/>
      <c r="AG58" s="8"/>
    </row>
    <row r="59" spans="1:33" x14ac:dyDescent="0.2">
      <c r="A59" s="12">
        <v>7690</v>
      </c>
      <c r="B59" s="13" t="s">
        <v>52</v>
      </c>
      <c r="C59" s="13">
        <v>43448</v>
      </c>
      <c r="D59" s="5">
        <v>14</v>
      </c>
      <c r="E59" s="6" t="s">
        <v>77</v>
      </c>
      <c r="F59" s="5" t="s">
        <v>99</v>
      </c>
      <c r="G59" s="6" t="s">
        <v>98</v>
      </c>
      <c r="H59" s="5" t="str">
        <f>"000001"</f>
        <v>000001</v>
      </c>
      <c r="I59" s="4">
        <v>43147</v>
      </c>
      <c r="J59" s="5" t="str">
        <f>"000001"</f>
        <v>000001</v>
      </c>
      <c r="K59" s="4">
        <v>41364</v>
      </c>
      <c r="L59" s="5" t="str">
        <f>"000001"</f>
        <v>000001</v>
      </c>
      <c r="M59" s="4">
        <v>41364</v>
      </c>
      <c r="N59" s="5">
        <v>12</v>
      </c>
      <c r="O59" s="5" t="str">
        <f>"008004"</f>
        <v>008004</v>
      </c>
      <c r="P59" s="4">
        <v>43448</v>
      </c>
      <c r="Q59" s="7">
        <v>0.83733000000000002</v>
      </c>
      <c r="R59" s="7">
        <v>6.7830000000000001E-2</v>
      </c>
      <c r="S59" s="7">
        <v>0.76949999999999996</v>
      </c>
      <c r="T59" s="5">
        <v>291</v>
      </c>
      <c r="U59" s="4">
        <v>43448</v>
      </c>
      <c r="V59" s="5">
        <v>9845432134</v>
      </c>
      <c r="W59" s="6" t="s">
        <v>97</v>
      </c>
      <c r="X59" s="5" t="s">
        <v>96</v>
      </c>
      <c r="Y59" s="6" t="s">
        <v>95</v>
      </c>
      <c r="Z59" s="5" t="s">
        <v>66</v>
      </c>
      <c r="AA59" s="6" t="s">
        <v>65</v>
      </c>
      <c r="AB59" s="7">
        <f>Q59/100</f>
        <v>8.3733000000000002E-3</v>
      </c>
      <c r="AD59" s="8"/>
      <c r="AF59" s="8"/>
      <c r="AG59" s="8"/>
    </row>
    <row r="60" spans="1:33" x14ac:dyDescent="0.2">
      <c r="A60" s="12">
        <v>7831</v>
      </c>
      <c r="B60" s="13" t="s">
        <v>52</v>
      </c>
      <c r="C60" s="13">
        <v>43451</v>
      </c>
      <c r="D60" s="5">
        <v>14</v>
      </c>
      <c r="E60" s="6" t="s">
        <v>77</v>
      </c>
      <c r="F60" s="5" t="s">
        <v>94</v>
      </c>
      <c r="G60" s="6" t="s">
        <v>93</v>
      </c>
      <c r="H60" s="5" t="str">
        <f>"000373"</f>
        <v>000373</v>
      </c>
      <c r="I60" s="4">
        <v>43186</v>
      </c>
      <c r="J60" s="5" t="str">
        <f>"000082"</f>
        <v>000082</v>
      </c>
      <c r="K60" s="4">
        <v>43424</v>
      </c>
      <c r="L60" s="5" t="str">
        <f>"000240"</f>
        <v>000240</v>
      </c>
      <c r="M60" s="4">
        <v>43433</v>
      </c>
      <c r="N60" s="5">
        <v>18</v>
      </c>
      <c r="O60" s="5" t="str">
        <f>"008024"</f>
        <v>008024</v>
      </c>
      <c r="P60" s="4">
        <v>43449</v>
      </c>
      <c r="Q60" s="7">
        <v>49.841160000000002</v>
      </c>
      <c r="R60" s="7">
        <v>5.5720700000000001</v>
      </c>
      <c r="S60" s="7">
        <v>44.269089999999998</v>
      </c>
      <c r="T60" s="5">
        <v>294</v>
      </c>
      <c r="U60" s="4">
        <v>43451</v>
      </c>
      <c r="V60" s="5">
        <v>9743188999</v>
      </c>
      <c r="W60" s="6" t="s">
        <v>50</v>
      </c>
      <c r="X60" s="5" t="s">
        <v>46</v>
      </c>
      <c r="Y60" s="6" t="s">
        <v>47</v>
      </c>
      <c r="Z60" s="5" t="s">
        <v>72</v>
      </c>
      <c r="AA60" s="6" t="s">
        <v>71</v>
      </c>
      <c r="AB60" s="7">
        <f>Q60/100</f>
        <v>0.49841160000000001</v>
      </c>
      <c r="AD60" s="8"/>
      <c r="AF60" s="8"/>
      <c r="AG60" s="8"/>
    </row>
    <row r="61" spans="1:33" x14ac:dyDescent="0.2">
      <c r="A61" s="12">
        <v>7956</v>
      </c>
      <c r="B61" s="13" t="s">
        <v>52</v>
      </c>
      <c r="C61" s="13">
        <v>43455</v>
      </c>
      <c r="D61" s="5">
        <v>14</v>
      </c>
      <c r="E61" s="6" t="s">
        <v>77</v>
      </c>
      <c r="F61" s="5" t="s">
        <v>92</v>
      </c>
      <c r="G61" s="6" t="s">
        <v>91</v>
      </c>
      <c r="H61" s="5" t="str">
        <f>"000007"</f>
        <v>000007</v>
      </c>
      <c r="I61" s="4">
        <v>42832</v>
      </c>
      <c r="J61" s="5" t="str">
        <f>"000014"</f>
        <v>000014</v>
      </c>
      <c r="K61" s="4">
        <v>42875</v>
      </c>
      <c r="L61" s="5" t="str">
        <f>"000082"</f>
        <v>000082</v>
      </c>
      <c r="M61" s="4">
        <v>42886</v>
      </c>
      <c r="N61" s="5">
        <v>17</v>
      </c>
      <c r="O61" s="5" t="str">
        <f>"007721"</f>
        <v>007721</v>
      </c>
      <c r="P61" s="4">
        <v>43441</v>
      </c>
      <c r="Q61" s="7">
        <v>16.773710000000001</v>
      </c>
      <c r="R61" s="7">
        <v>1.23288</v>
      </c>
      <c r="S61" s="7">
        <v>15.54083</v>
      </c>
      <c r="T61" s="5">
        <v>301</v>
      </c>
      <c r="U61" s="4">
        <v>43455</v>
      </c>
      <c r="V61" s="5">
        <v>9900175940</v>
      </c>
      <c r="W61" s="6" t="s">
        <v>80</v>
      </c>
      <c r="X61" s="5" t="s">
        <v>32</v>
      </c>
      <c r="Y61" s="6" t="s">
        <v>33</v>
      </c>
      <c r="Z61" s="5" t="s">
        <v>72</v>
      </c>
      <c r="AA61" s="6" t="s">
        <v>71</v>
      </c>
      <c r="AB61" s="7">
        <f>Q61/100</f>
        <v>0.1677371</v>
      </c>
      <c r="AD61" s="8"/>
      <c r="AF61" s="8"/>
      <c r="AG61" s="8"/>
    </row>
    <row r="62" spans="1:33" x14ac:dyDescent="0.2">
      <c r="A62" s="12">
        <v>7957</v>
      </c>
      <c r="B62" s="13" t="s">
        <v>52</v>
      </c>
      <c r="C62" s="13">
        <v>43455</v>
      </c>
      <c r="D62" s="5">
        <v>14</v>
      </c>
      <c r="E62" s="6" t="s">
        <v>77</v>
      </c>
      <c r="F62" s="5" t="s">
        <v>90</v>
      </c>
      <c r="G62" s="6" t="s">
        <v>89</v>
      </c>
      <c r="H62" s="5" t="str">
        <f>"000003"</f>
        <v>000003</v>
      </c>
      <c r="I62" s="4">
        <v>42832</v>
      </c>
      <c r="J62" s="5" t="str">
        <f>"000023"</f>
        <v>000023</v>
      </c>
      <c r="K62" s="4">
        <v>42884</v>
      </c>
      <c r="L62" s="5" t="str">
        <f>"000084"</f>
        <v>000084</v>
      </c>
      <c r="M62" s="4">
        <v>42886</v>
      </c>
      <c r="N62" s="5">
        <v>17</v>
      </c>
      <c r="O62" s="5" t="str">
        <f>"007723"</f>
        <v>007723</v>
      </c>
      <c r="P62" s="4">
        <v>43441</v>
      </c>
      <c r="Q62" s="7">
        <v>17.79833</v>
      </c>
      <c r="R62" s="7">
        <v>1.3081700000000001</v>
      </c>
      <c r="S62" s="7">
        <v>16.490159999999999</v>
      </c>
      <c r="T62" s="5">
        <v>301</v>
      </c>
      <c r="U62" s="4">
        <v>43455</v>
      </c>
      <c r="V62" s="5">
        <v>9972204400</v>
      </c>
      <c r="W62" s="6" t="s">
        <v>80</v>
      </c>
      <c r="X62" s="5" t="s">
        <v>32</v>
      </c>
      <c r="Y62" s="6" t="s">
        <v>33</v>
      </c>
      <c r="Z62" s="5" t="s">
        <v>72</v>
      </c>
      <c r="AA62" s="6" t="s">
        <v>71</v>
      </c>
      <c r="AB62" s="7">
        <f>Q62/100</f>
        <v>0.17798330000000001</v>
      </c>
      <c r="AD62" s="8"/>
      <c r="AF62" s="8"/>
      <c r="AG62" s="8"/>
    </row>
    <row r="63" spans="1:33" x14ac:dyDescent="0.2">
      <c r="A63" s="12">
        <v>7958</v>
      </c>
      <c r="B63" s="13" t="s">
        <v>52</v>
      </c>
      <c r="C63" s="13">
        <v>43455</v>
      </c>
      <c r="D63" s="5">
        <v>14</v>
      </c>
      <c r="E63" s="6" t="s">
        <v>77</v>
      </c>
      <c r="F63" s="5" t="s">
        <v>88</v>
      </c>
      <c r="G63" s="6" t="s">
        <v>87</v>
      </c>
      <c r="H63" s="5" t="str">
        <f>"000008"</f>
        <v>000008</v>
      </c>
      <c r="I63" s="4">
        <v>42832</v>
      </c>
      <c r="J63" s="5" t="str">
        <f>"0000O0"</f>
        <v>0000O0</v>
      </c>
      <c r="K63" s="4">
        <v>42875</v>
      </c>
      <c r="L63" s="5" t="str">
        <f>"000085"</f>
        <v>000085</v>
      </c>
      <c r="M63" s="4">
        <v>42886</v>
      </c>
      <c r="N63" s="5">
        <v>17</v>
      </c>
      <c r="O63" s="5" t="str">
        <f>"007724"</f>
        <v>007724</v>
      </c>
      <c r="P63" s="4">
        <v>43441</v>
      </c>
      <c r="Q63" s="7">
        <v>13.237069999999999</v>
      </c>
      <c r="R63" s="7">
        <v>0.99292000000000002</v>
      </c>
      <c r="S63" s="7">
        <v>12.244149999999999</v>
      </c>
      <c r="T63" s="5">
        <v>301</v>
      </c>
      <c r="U63" s="4">
        <v>43455</v>
      </c>
      <c r="V63" s="5">
        <v>9900175940</v>
      </c>
      <c r="W63" s="6" t="s">
        <v>80</v>
      </c>
      <c r="X63" s="5" t="s">
        <v>32</v>
      </c>
      <c r="Y63" s="6" t="s">
        <v>33</v>
      </c>
      <c r="Z63" s="5" t="s">
        <v>72</v>
      </c>
      <c r="AA63" s="6" t="s">
        <v>71</v>
      </c>
      <c r="AB63" s="7">
        <f>Q63/100</f>
        <v>0.13237069999999998</v>
      </c>
      <c r="AD63" s="8"/>
      <c r="AF63" s="8"/>
      <c r="AG63" s="8"/>
    </row>
    <row r="64" spans="1:33" x14ac:dyDescent="0.2">
      <c r="A64" s="12">
        <v>7959</v>
      </c>
      <c r="B64" s="13" t="s">
        <v>52</v>
      </c>
      <c r="C64" s="13">
        <v>43455</v>
      </c>
      <c r="D64" s="5">
        <v>14</v>
      </c>
      <c r="E64" s="6" t="s">
        <v>77</v>
      </c>
      <c r="F64" s="5" t="s">
        <v>86</v>
      </c>
      <c r="G64" s="6" t="s">
        <v>85</v>
      </c>
      <c r="H64" s="5" t="str">
        <f>"000004"</f>
        <v>000004</v>
      </c>
      <c r="I64" s="4">
        <v>42832</v>
      </c>
      <c r="J64" s="5" t="str">
        <f>"000OO0"</f>
        <v>000OO0</v>
      </c>
      <c r="K64" s="4">
        <v>42875</v>
      </c>
      <c r="L64" s="5" t="str">
        <f>"000086"</f>
        <v>000086</v>
      </c>
      <c r="M64" s="4">
        <v>42886</v>
      </c>
      <c r="N64" s="5">
        <v>17</v>
      </c>
      <c r="O64" s="5" t="str">
        <f>"007725"</f>
        <v>007725</v>
      </c>
      <c r="P64" s="4">
        <v>43441</v>
      </c>
      <c r="Q64" s="7">
        <v>17.796289999999999</v>
      </c>
      <c r="R64" s="7">
        <v>1.30802</v>
      </c>
      <c r="S64" s="7">
        <v>16.48827</v>
      </c>
      <c r="T64" s="5">
        <v>301</v>
      </c>
      <c r="U64" s="4">
        <v>43455</v>
      </c>
      <c r="V64" s="5">
        <v>9900175940</v>
      </c>
      <c r="W64" s="6" t="s">
        <v>80</v>
      </c>
      <c r="X64" s="5" t="s">
        <v>32</v>
      </c>
      <c r="Y64" s="6" t="s">
        <v>33</v>
      </c>
      <c r="Z64" s="5" t="s">
        <v>72</v>
      </c>
      <c r="AA64" s="6" t="s">
        <v>71</v>
      </c>
      <c r="AB64" s="7">
        <f>Q64/100</f>
        <v>0.17796289999999998</v>
      </c>
      <c r="AD64" s="8"/>
      <c r="AF64" s="8"/>
      <c r="AG64" s="8"/>
    </row>
    <row r="65" spans="1:33" x14ac:dyDescent="0.2">
      <c r="A65" s="12">
        <v>7960</v>
      </c>
      <c r="B65" s="13" t="s">
        <v>52</v>
      </c>
      <c r="C65" s="13">
        <v>43455</v>
      </c>
      <c r="D65" s="5">
        <v>14</v>
      </c>
      <c r="E65" s="6" t="s">
        <v>77</v>
      </c>
      <c r="F65" s="5" t="s">
        <v>84</v>
      </c>
      <c r="G65" s="6" t="s">
        <v>83</v>
      </c>
      <c r="H65" s="5" t="str">
        <f>"000258"</f>
        <v>000258</v>
      </c>
      <c r="I65" s="4">
        <v>42063</v>
      </c>
      <c r="J65" s="5" t="str">
        <f>"000258"</f>
        <v>000258</v>
      </c>
      <c r="K65" s="4">
        <v>42884</v>
      </c>
      <c r="L65" s="5" t="str">
        <f>"000094"</f>
        <v>000094</v>
      </c>
      <c r="M65" s="4">
        <v>42886</v>
      </c>
      <c r="N65" s="5">
        <v>15</v>
      </c>
      <c r="O65" s="5" t="str">
        <f>"007736"</f>
        <v>007736</v>
      </c>
      <c r="P65" s="4">
        <v>43441</v>
      </c>
      <c r="Q65" s="7">
        <v>24.74832</v>
      </c>
      <c r="R65" s="7">
        <v>3.2839</v>
      </c>
      <c r="S65" s="7">
        <v>21.46442</v>
      </c>
      <c r="T65" s="5">
        <v>301</v>
      </c>
      <c r="U65" s="4">
        <v>43455</v>
      </c>
      <c r="V65" s="5">
        <v>9449219009</v>
      </c>
      <c r="W65" s="6" t="s">
        <v>50</v>
      </c>
      <c r="X65" s="5" t="s">
        <v>44</v>
      </c>
      <c r="Y65" s="6" t="s">
        <v>45</v>
      </c>
      <c r="Z65" s="5" t="s">
        <v>72</v>
      </c>
      <c r="AA65" s="6" t="s">
        <v>71</v>
      </c>
      <c r="AB65" s="7">
        <f>Q65/100</f>
        <v>0.24748319999999999</v>
      </c>
      <c r="AD65" s="8"/>
      <c r="AF65" s="8"/>
      <c r="AG65" s="8"/>
    </row>
    <row r="66" spans="1:33" x14ac:dyDescent="0.2">
      <c r="A66" s="12">
        <v>7961</v>
      </c>
      <c r="B66" s="13" t="s">
        <v>52</v>
      </c>
      <c r="C66" s="13">
        <v>43455</v>
      </c>
      <c r="D66" s="5">
        <v>14</v>
      </c>
      <c r="E66" s="6" t="s">
        <v>77</v>
      </c>
      <c r="F66" s="5" t="s">
        <v>82</v>
      </c>
      <c r="G66" s="6" t="s">
        <v>81</v>
      </c>
      <c r="H66" s="5" t="str">
        <f>"000017"</f>
        <v>000017</v>
      </c>
      <c r="I66" s="4">
        <v>42832</v>
      </c>
      <c r="J66" s="5" t="str">
        <f>"000013"</f>
        <v>000013</v>
      </c>
      <c r="K66" s="4">
        <v>42875</v>
      </c>
      <c r="L66" s="5" t="str">
        <f>"000044"</f>
        <v>000044</v>
      </c>
      <c r="M66" s="4">
        <v>42877</v>
      </c>
      <c r="N66" s="5">
        <v>17</v>
      </c>
      <c r="O66" s="5" t="str">
        <f>"007826"</f>
        <v>007826</v>
      </c>
      <c r="P66" s="4">
        <v>43444</v>
      </c>
      <c r="Q66" s="7">
        <v>16.190339999999999</v>
      </c>
      <c r="R66" s="7">
        <v>1.18998</v>
      </c>
      <c r="S66" s="7">
        <v>15.000360000000001</v>
      </c>
      <c r="T66" s="5">
        <v>301</v>
      </c>
      <c r="U66" s="4">
        <v>43455</v>
      </c>
      <c r="V66" s="5">
        <v>9972204400</v>
      </c>
      <c r="W66" s="6" t="s">
        <v>80</v>
      </c>
      <c r="X66" s="5" t="s">
        <v>79</v>
      </c>
      <c r="Y66" s="6" t="s">
        <v>78</v>
      </c>
      <c r="Z66" s="5" t="s">
        <v>72</v>
      </c>
      <c r="AA66" s="6" t="s">
        <v>71</v>
      </c>
      <c r="AB66" s="7">
        <f>Q66/100</f>
        <v>0.1619034</v>
      </c>
      <c r="AD66" s="8"/>
      <c r="AF66" s="8"/>
      <c r="AG66" s="8"/>
    </row>
    <row r="67" spans="1:33" x14ac:dyDescent="0.2">
      <c r="A67" s="12">
        <v>7962</v>
      </c>
      <c r="B67" s="13" t="s">
        <v>52</v>
      </c>
      <c r="C67" s="13">
        <v>43455</v>
      </c>
      <c r="D67" s="5">
        <v>14</v>
      </c>
      <c r="E67" s="6" t="s">
        <v>77</v>
      </c>
      <c r="F67" s="5" t="s">
        <v>76</v>
      </c>
      <c r="G67" s="6" t="s">
        <v>75</v>
      </c>
      <c r="H67" s="5" t="str">
        <f>"000O15"</f>
        <v>000O15</v>
      </c>
      <c r="I67" s="4">
        <v>42501</v>
      </c>
      <c r="J67" s="5" t="str">
        <f>"74"</f>
        <v>74</v>
      </c>
      <c r="K67" s="4" t="s">
        <v>74</v>
      </c>
      <c r="L67" s="5" t="str">
        <f>"000186"</f>
        <v>000186</v>
      </c>
      <c r="M67" s="4">
        <v>42916</v>
      </c>
      <c r="N67" s="5">
        <v>16</v>
      </c>
      <c r="O67" s="5" t="str">
        <f>"008118"</f>
        <v>008118</v>
      </c>
      <c r="P67" s="4">
        <v>43454</v>
      </c>
      <c r="Q67" s="7">
        <v>4.4138900000000003</v>
      </c>
      <c r="R67" s="7">
        <v>0.13139000000000001</v>
      </c>
      <c r="S67" s="7">
        <v>4.2824999999999998</v>
      </c>
      <c r="T67" s="5">
        <v>301</v>
      </c>
      <c r="U67" s="4">
        <v>43455</v>
      </c>
      <c r="V67" s="5">
        <v>8971783830</v>
      </c>
      <c r="W67" s="6" t="s">
        <v>73</v>
      </c>
      <c r="X67" s="5" t="s">
        <v>40</v>
      </c>
      <c r="Y67" s="6" t="s">
        <v>41</v>
      </c>
      <c r="Z67" s="5" t="s">
        <v>72</v>
      </c>
      <c r="AA67" s="6" t="s">
        <v>71</v>
      </c>
      <c r="AB67" s="7">
        <f>Q67/100</f>
        <v>4.4138900000000002E-2</v>
      </c>
      <c r="AD67" s="8"/>
      <c r="AF67" s="8"/>
      <c r="AG67"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2019-01-14T10:17:45Z</dcterms:modified>
</cp:coreProperties>
</file>