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AB42" i="1"/>
  <c r="H43" i="1"/>
  <c r="J43" i="1"/>
  <c r="L43" i="1"/>
  <c r="O43" i="1"/>
  <c r="AB43" i="1"/>
  <c r="H44" i="1"/>
  <c r="J44" i="1"/>
  <c r="L44" i="1"/>
  <c r="O44" i="1"/>
  <c r="AB44" i="1"/>
  <c r="H45" i="1"/>
  <c r="J45" i="1"/>
  <c r="L45" i="1"/>
  <c r="O45" i="1"/>
  <c r="AB45" i="1"/>
  <c r="H46" i="1"/>
  <c r="J46" i="1"/>
  <c r="L46" i="1"/>
  <c r="O46" i="1"/>
  <c r="AB46" i="1"/>
  <c r="H47" i="1"/>
  <c r="J47" i="1"/>
  <c r="L47" i="1"/>
  <c r="O47" i="1"/>
  <c r="AB47" i="1"/>
  <c r="H48" i="1"/>
  <c r="J48" i="1"/>
  <c r="L48" i="1"/>
  <c r="O48" i="1"/>
  <c r="AB48" i="1"/>
  <c r="H49" i="1"/>
  <c r="J49" i="1"/>
  <c r="L49" i="1"/>
  <c r="O49" i="1"/>
  <c r="AB49" i="1"/>
  <c r="H50" i="1"/>
  <c r="J50" i="1"/>
  <c r="L50" i="1"/>
  <c r="O50" i="1"/>
  <c r="AB50" i="1"/>
  <c r="H51" i="1"/>
  <c r="J51" i="1"/>
  <c r="L51" i="1"/>
  <c r="O51" i="1"/>
  <c r="AB51" i="1"/>
  <c r="H52" i="1"/>
  <c r="J52" i="1"/>
  <c r="L52" i="1"/>
  <c r="O52" i="1"/>
  <c r="AB52" i="1"/>
  <c r="H53" i="1"/>
  <c r="J53" i="1"/>
  <c r="L53" i="1"/>
  <c r="O53" i="1"/>
  <c r="AB53" i="1"/>
  <c r="H54" i="1"/>
  <c r="J54" i="1"/>
  <c r="L54" i="1"/>
  <c r="O54" i="1"/>
  <c r="AB54" i="1"/>
  <c r="H55" i="1"/>
  <c r="J55" i="1"/>
  <c r="L55" i="1"/>
  <c r="O55" i="1"/>
  <c r="AB55" i="1"/>
  <c r="H56" i="1"/>
  <c r="J56" i="1"/>
  <c r="L56" i="1"/>
  <c r="O56" i="1"/>
  <c r="AB56" i="1"/>
  <c r="H57" i="1"/>
  <c r="J57" i="1"/>
  <c r="L57" i="1"/>
  <c r="O57" i="1"/>
  <c r="AB57" i="1"/>
  <c r="H58" i="1"/>
  <c r="J58" i="1"/>
  <c r="L58" i="1"/>
  <c r="O58" i="1"/>
  <c r="AB58" i="1"/>
  <c r="H59" i="1"/>
  <c r="J59" i="1"/>
  <c r="L59" i="1"/>
  <c r="O59" i="1"/>
  <c r="AB59" i="1"/>
  <c r="H60" i="1"/>
  <c r="J60" i="1"/>
  <c r="L60" i="1"/>
  <c r="O60" i="1"/>
  <c r="AB60" i="1"/>
  <c r="H61" i="1"/>
  <c r="J61" i="1"/>
  <c r="L61" i="1"/>
  <c r="O61" i="1"/>
  <c r="AB61" i="1"/>
  <c r="H62" i="1"/>
  <c r="J62" i="1"/>
  <c r="L62" i="1"/>
  <c r="O62" i="1"/>
  <c r="AB62" i="1"/>
  <c r="H63" i="1"/>
  <c r="J63" i="1"/>
  <c r="L63" i="1"/>
  <c r="O63" i="1"/>
  <c r="AB63" i="1"/>
  <c r="H64" i="1"/>
  <c r="J64" i="1"/>
  <c r="L64" i="1"/>
  <c r="O64" i="1"/>
  <c r="AB64" i="1"/>
  <c r="H65" i="1"/>
  <c r="J65" i="1"/>
  <c r="L65" i="1"/>
  <c r="O65" i="1"/>
  <c r="AB65" i="1"/>
  <c r="H66" i="1"/>
  <c r="J66" i="1"/>
  <c r="L66" i="1"/>
  <c r="O66" i="1"/>
  <c r="AB66" i="1"/>
  <c r="H67" i="1"/>
  <c r="J67" i="1"/>
  <c r="L67" i="1"/>
  <c r="O67" i="1"/>
  <c r="AB67" i="1"/>
  <c r="H68" i="1"/>
  <c r="J68" i="1"/>
  <c r="L68" i="1"/>
  <c r="O68" i="1"/>
  <c r="AB68" i="1"/>
  <c r="H69" i="1"/>
  <c r="J69" i="1"/>
  <c r="L69" i="1"/>
  <c r="O69" i="1"/>
  <c r="AB69" i="1"/>
  <c r="H70" i="1"/>
  <c r="J70" i="1"/>
  <c r="L70" i="1"/>
  <c r="O70" i="1"/>
  <c r="AB70" i="1"/>
  <c r="H71" i="1"/>
  <c r="J71" i="1"/>
  <c r="L71" i="1"/>
  <c r="O71" i="1"/>
  <c r="AB71" i="1"/>
  <c r="H72" i="1"/>
  <c r="J72" i="1"/>
  <c r="L72" i="1"/>
  <c r="O72" i="1"/>
  <c r="AB72" i="1"/>
  <c r="H73" i="1"/>
  <c r="J73" i="1"/>
  <c r="L73" i="1"/>
  <c r="O73" i="1"/>
  <c r="AB73" i="1"/>
  <c r="H74" i="1"/>
  <c r="J74" i="1"/>
  <c r="L74" i="1"/>
  <c r="O74" i="1"/>
  <c r="AB74" i="1"/>
  <c r="H75" i="1"/>
  <c r="J75" i="1"/>
  <c r="L75" i="1"/>
  <c r="O75" i="1"/>
  <c r="AB75" i="1"/>
  <c r="H76" i="1"/>
  <c r="J76" i="1"/>
  <c r="L76" i="1"/>
  <c r="O76" i="1"/>
  <c r="AB76" i="1"/>
  <c r="H77" i="1"/>
  <c r="J77" i="1"/>
  <c r="L77" i="1"/>
  <c r="O77" i="1"/>
  <c r="AB77" i="1"/>
  <c r="H78" i="1"/>
  <c r="J78" i="1"/>
  <c r="L78" i="1"/>
  <c r="O78" i="1"/>
  <c r="AB78" i="1"/>
</calcChain>
</file>

<file path=xl/sharedStrings.xml><?xml version="1.0" encoding="utf-8"?>
<sst xmlns="http://schemas.openxmlformats.org/spreadsheetml/2006/main" count="721" uniqueCount="261">
  <si>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</si>
  <si>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</si>
  <si>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</si>
  <si>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</si>
  <si>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</si>
  <si>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</si>
  <si>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</si>
  <si>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</si>
  <si>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</si>
  <si>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</si>
  <si>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</si>
  <si>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</si>
  <si>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</si>
  <si>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</si>
  <si>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</si>
  <si>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</si>
  <si>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</si>
  <si>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</si>
  <si>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</si>
  <si>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</si>
  <si>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</si>
  <si>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</si>
  <si>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</si>
  <si>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</si>
  <si>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</si>
  <si>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</si>
  <si>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</si>
  <si>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</si>
  <si>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</si>
  <si>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</si>
  <si>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</si>
  <si>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</si>
  <si>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May</t>
  </si>
  <si>
    <t>September</t>
  </si>
  <si>
    <t>P3110</t>
  </si>
  <si>
    <t>14th Finance Commission Grant Works</t>
  </si>
  <si>
    <t>December</t>
  </si>
  <si>
    <t>October</t>
  </si>
  <si>
    <t xml:space="preserve"> Assistant Executive Engineer Electrical West Zone</t>
  </si>
  <si>
    <t>ddo209</t>
  </si>
  <si>
    <t>State Finance Commission Untied Grant Works</t>
  </si>
  <si>
    <t>P3111</t>
  </si>
  <si>
    <t>KRIDL</t>
  </si>
  <si>
    <t>Water Supply New Areas</t>
  </si>
  <si>
    <t>P1802</t>
  </si>
  <si>
    <t>June</t>
  </si>
  <si>
    <t>Works sanctioned by Dy. Mayor</t>
  </si>
  <si>
    <t>P2178</t>
  </si>
  <si>
    <t>14th Finance Commission Works - Community Property Maintenance (including Parks)</t>
  </si>
  <si>
    <t>P3292</t>
  </si>
  <si>
    <t>14th Fin  -Maintenance of Cremotorium, Burial Grounds</t>
  </si>
  <si>
    <t>P3291</t>
  </si>
  <si>
    <t>14th Finance Commission Works - General Public ToiletandSeptage Maintenance</t>
  </si>
  <si>
    <t>P3294</t>
  </si>
  <si>
    <t>14th Finance Commission Works - Road and Footpath Maintenance</t>
  </si>
  <si>
    <t>P3296</t>
  </si>
  <si>
    <t>November</t>
  </si>
  <si>
    <t>14th Finance Commission Grants - SWD Works</t>
  </si>
  <si>
    <t>P3297</t>
  </si>
  <si>
    <t>14th Finance Commission Works - UGD Works</t>
  </si>
  <si>
    <t>P3295</t>
  </si>
  <si>
    <t>Nagarothana Works</t>
  </si>
  <si>
    <t>P3106</t>
  </si>
  <si>
    <t>Works sanctioned by Hon Mayor</t>
  </si>
  <si>
    <t>P0190</t>
  </si>
  <si>
    <t>Special comprehensive development works in Bangalore city (Bangalore city in charge Minister Discretionary Grants)</t>
  </si>
  <si>
    <t>P3075</t>
  </si>
  <si>
    <t xml:space="preserve"> Executive Engineer SWM 1 Central Zone</t>
  </si>
  <si>
    <t>ddo326</t>
  </si>
  <si>
    <t>Executive Engineer, KRIDL</t>
  </si>
  <si>
    <t>Maintenance and Management of Parks on Contract</t>
  </si>
  <si>
    <t>P0088</t>
  </si>
  <si>
    <t>The Technical Manager</t>
  </si>
  <si>
    <t>14th Finance Commission Works - Drinking Water</t>
  </si>
  <si>
    <t>P3293</t>
  </si>
  <si>
    <t>14th Finance Commission Works - Providing Street Lights and Maintenance</t>
  </si>
  <si>
    <t>P3290</t>
  </si>
  <si>
    <t>14th Finance Commission Works - SWM Works</t>
  </si>
  <si>
    <t>P3298</t>
  </si>
  <si>
    <t>Executive Engineer -2 KRIDL</t>
  </si>
  <si>
    <t>B M Chandraiah</t>
  </si>
  <si>
    <t xml:space="preserve"> Assistant Executive Engineer J J R nagar West Zone</t>
  </si>
  <si>
    <t>ddo268</t>
  </si>
  <si>
    <t>M S Venkatesh</t>
  </si>
  <si>
    <t>K.R.I.D.L</t>
  </si>
  <si>
    <t>R Chandru</t>
  </si>
  <si>
    <t>KRIDL (WEST)</t>
  </si>
  <si>
    <t xml:space="preserve"> Assistant Executive Engineer Chamarajpet West Zone</t>
  </si>
  <si>
    <t>ddo205</t>
  </si>
  <si>
    <t>Hemanth Kumar R</t>
  </si>
  <si>
    <t>Hemanth kumar R</t>
  </si>
  <si>
    <t>Jayaraj</t>
  </si>
  <si>
    <t>KRIDL WEST</t>
  </si>
  <si>
    <t>KRIDL West</t>
  </si>
  <si>
    <t>KARNATAKA RURAL INFRASTRUCTURE DEVELOPMENT LTD,</t>
  </si>
  <si>
    <t>Special Development works at Ward No.106.141.151.072 ( 04 wards Rs.6.00 Cr. Each)</t>
  </si>
  <si>
    <t>P3334</t>
  </si>
  <si>
    <t>Water Supply and Other Development works 9th cross Adharsha nagara Surrounding and Conservancy Roads at Azadnagar surrounding in Ward No. 141</t>
  </si>
  <si>
    <t>141-18-000036</t>
  </si>
  <si>
    <t>Azad Nagara</t>
  </si>
  <si>
    <t>Water Supply and other development works to Rajeevgandhi Staduim to 6th, 7th cross LBG 11th main Rudrappa Garden Conservency Between 4th, 5th, 6th cross at Azad nagara conservency lane baside Temple conservency Gully in Ward No. 141</t>
  </si>
  <si>
    <t>141-18-000035</t>
  </si>
  <si>
    <t>Providing Water Supply connection and other Development works at Adharsha nagara Azadnajar Mysore Road  Chamarajpet and K.B.Nagara in Ward No. 141</t>
  </si>
  <si>
    <t>141-18-000034</t>
  </si>
  <si>
    <t>Providing water supply connections to existing borewells at ward juridiction in ward no-141</t>
  </si>
  <si>
    <t>141-18-000040</t>
  </si>
  <si>
    <t>Water Supply and Development works 6th main 2nd cross 1st cross, 5th main, 6th main 1st Cross to 6th main Gully 4th main AS Katte to 2nd Cross at K.B.Nagara in Ward No. 141</t>
  </si>
  <si>
    <t>141-18-000032</t>
  </si>
  <si>
    <t>Water Supply and other works to 2nd main 11th cross to 6th cross, 6th cross to Gowrishankara Ashrama and vital nagara in ward No. 141</t>
  </si>
  <si>
    <t>141-18-000033</t>
  </si>
  <si>
    <t>water supply and other development works at bande slum area 2nd cross vinayakapuara RSD and  LSD 1st Cross M.S.Hotl 4th Main Ashwathappa Garden Kasthurabha Nagara area in Ward No. 141</t>
  </si>
  <si>
    <t>141-18-000030</t>
  </si>
  <si>
    <t>Water Supply works and development works at  K.B Nagara Ashwathappa Garden, 2nd cross, 3rd cross, Ashwathkatte in ward No. 141</t>
  </si>
  <si>
    <t>141-18-000031</t>
  </si>
  <si>
    <t>Providing Street lights and Maintenance at ward no 141</t>
  </si>
  <si>
    <t>141-18-000021</t>
  </si>
  <si>
    <t xml:space="preserve">Providing Potholes filling and Re doing the cut roads portion of roads of Ward No. 141  </t>
  </si>
  <si>
    <t>141-14-000004</t>
  </si>
  <si>
    <t>Providing Asphalting to Ashwathtappa Garden and Surrounding cross roads in Ward No. 141</t>
  </si>
  <si>
    <t>141-16-000008</t>
  </si>
  <si>
    <t>Filling of Potholes in Ward Jurisdiction in Ward No. 141</t>
  </si>
  <si>
    <t>141-16-000003</t>
  </si>
  <si>
    <t>Providing Asphalting to Ashwath Katte Main Road and Surrounding cross roads in Ward No. 141</t>
  </si>
  <si>
    <t>141-16-000007</t>
  </si>
  <si>
    <t>Providing Asphalting to Azadnagar 2nd Main Road and Surrounding cross roads in Ward No. 141</t>
  </si>
  <si>
    <t>141-16-000009</t>
  </si>
  <si>
    <t>Providing sinking emerging and commissioning borewell drinking water supply including pipeline at bande slum and Valmikinagar surrounding area in ward no-141</t>
  </si>
  <si>
    <t>141-15-000021</t>
  </si>
  <si>
    <t>Special Development works in ward No.21, 24, 50, 54, 58, 59, 72, 78, 110, 141, 188 and 197 (Rs.200 Lakhs per ward)</t>
  </si>
  <si>
    <t>P3166</t>
  </si>
  <si>
    <t>Jayaraj R</t>
  </si>
  <si>
    <t>Repairs  and  Maintenance to BBMP Gym and tailoring centre at Ambedkar Bhavan Kasthutiba nagar in ward no 141</t>
  </si>
  <si>
    <t>141-17-000063</t>
  </si>
  <si>
    <t xml:space="preserve">Development and beautification work around Indira Canteen in Ward No-141  </t>
  </si>
  <si>
    <t>141-18-000068</t>
  </si>
  <si>
    <t>Special Development works at ward No. 184,141,127 Each Rs.2.00 Cr</t>
  </si>
  <si>
    <t>P3318</t>
  </si>
  <si>
    <t>Water supply and other development works at 9th cross to Rajkumar Layout to 2nd main road to 11th cross 3rd cross 4th cross at Vital Nagara Area in Ward No 141</t>
  </si>
  <si>
    <t>141-18-000037</t>
  </si>
  <si>
    <t>Providing Water Supply works and ipmrovements works to Vital Nagara Lingayath Burial Ground Shanimahathama Temple and Rajkumar Park surrounding area in Ward No 141</t>
  </si>
  <si>
    <t>141-18-000038</t>
  </si>
  <si>
    <t>Providing  Water Connection from existing borewell at vital nagara in ward No 141</t>
  </si>
  <si>
    <t>141-18-000039</t>
  </si>
  <si>
    <t>Ganesh K</t>
  </si>
  <si>
    <t>Providing new borwell at Vittalanagara 2nd main road surrounding area in ward no-141</t>
  </si>
  <si>
    <t>141-17-000084</t>
  </si>
  <si>
    <t>Providing new borwell at BMK layout  surrounding area in ward no-141</t>
  </si>
  <si>
    <t>141-17-000083</t>
  </si>
  <si>
    <t>Repairs and maintenance to Arundathi school Building at   Valmiki nagar Mysore Road  in  ward no 141</t>
  </si>
  <si>
    <t>141-17-000067</t>
  </si>
  <si>
    <t>Construction to Bangalore One Centre and Milk Parlour at Muneshwara Block Park in ward no 141</t>
  </si>
  <si>
    <t>141-17-000062</t>
  </si>
  <si>
    <t>Rain Water  Harvesting  in  Kasturi Bha Nagar and surrounding area in ward No. 141</t>
  </si>
  <si>
    <t>141-17-000113</t>
  </si>
  <si>
    <t>Maintanance and repairs to Damaged borewell  Pipes at Valmikinagar and  Surrounding Area in ward No. 141</t>
  </si>
  <si>
    <t>141-17-000116</t>
  </si>
  <si>
    <t>Rain Water  Harvesting  in  Vittal nagar and surrounding area in ward No. 141</t>
  </si>
  <si>
    <t>141-17-000115</t>
  </si>
  <si>
    <t>Rain Water  Harvesting  in  Valmiki Nagar and surrounding area in ward No. 141</t>
  </si>
  <si>
    <t>141-17-000114</t>
  </si>
  <si>
    <t>Rain Water  Harvesting  in Rudrappa Garden and surrounding area in ward No. 141</t>
  </si>
  <si>
    <t>141-17-000112</t>
  </si>
  <si>
    <t>Repairs and Maintenance to damaged Shishuvihara Building at Ashwathkatte road in ward no 141</t>
  </si>
  <si>
    <t>141-17-000064</t>
  </si>
  <si>
    <t>Providing Drinking Water Pipeline from Borewell to cross roads in Azadnagar and surrounding Area in ward no 141</t>
  </si>
  <si>
    <t>141-17-000059</t>
  </si>
  <si>
    <t>Repairs and maintenance existing name board and providing new name boards to cross roads and main road at Azadnagar valmiki nagara and surrounding area  in Ward No. 141</t>
  </si>
  <si>
    <t>141-17-000042</t>
  </si>
  <si>
    <t>Providing name boards for main roads cross roads of Rudrapp garden and Kasthuraba nagar  in Ward No. 141</t>
  </si>
  <si>
    <t>141-17-000051</t>
  </si>
  <si>
    <t>Desilting of Territiary drains in Vittalnagar, Adarshnagar and surrouding area in Ward No. 141</t>
  </si>
  <si>
    <t>141-17-000045</t>
  </si>
  <si>
    <t>Desilting of Territiary drains in Rudrappa Garden and surrouding area in Ward No. 141</t>
  </si>
  <si>
    <t>141-17-000046</t>
  </si>
  <si>
    <t>Providing poles, LED fittings, cable control switch etc., at ward no 141</t>
  </si>
  <si>
    <t>141-16-000026</t>
  </si>
  <si>
    <t>Improvement to CC roads and drain to Adarshanagar cross road ward no 141</t>
  </si>
  <si>
    <t>141-17-000030</t>
  </si>
  <si>
    <t>Repairs and maintenance of damaged culverts and CC road at Azadnagar and surrounding area in ward no 141</t>
  </si>
  <si>
    <t>141-17-000008</t>
  </si>
  <si>
    <t>Repairs and maintenance of damaged culverts and CC road at Vittalanagar 8th 9th and 10th cross in ward 141</t>
  </si>
  <si>
    <t>141-17-000005</t>
  </si>
  <si>
    <t>Potehole filling in ward jurisdiction in ward no 141</t>
  </si>
  <si>
    <t>141-17-000011</t>
  </si>
  <si>
    <t>Improvements to Rudrappa Garden in ward no-141 Azadnagar</t>
  </si>
  <si>
    <t>141-16-000054</t>
  </si>
  <si>
    <t>Improvements to park in front of Kempabudi Garden in ward no-141 Azadnagar</t>
  </si>
  <si>
    <t>141-16-000052</t>
  </si>
  <si>
    <t>Improvements to drains and Footpaths and other CC works from Kudre Park to Gajanana Bar in ward no 141</t>
  </si>
  <si>
    <t>141-17-000014</t>
  </si>
  <si>
    <t>Repairs and maintenance of damaged culverts and CC road at Vittalanagar and surrounding area in ward no 141</t>
  </si>
  <si>
    <t>141-17-000010</t>
  </si>
  <si>
    <t>Repairs and maintenance of damaged culverts and CC road at Vishwamanava school road and surrounding area in ward no 141</t>
  </si>
  <si>
    <t>141-17-000006</t>
  </si>
  <si>
    <t>Repairs and maintenance to CC Road at 8th cross Kasturibanagar in ward no 141</t>
  </si>
  <si>
    <t>141-17-000013</t>
  </si>
  <si>
    <t>Repairs and maintenance of damaged culverts and CC road at Vittalanagar 12th 13th cross and surrounding area in ward no 141</t>
  </si>
  <si>
    <t>141-17-000007</t>
  </si>
  <si>
    <t>Repairs and maintenance of damaged culverts and CC road at Kasturbanagar and surrounding area in ward no 141</t>
  </si>
  <si>
    <t>141-17-000009</t>
  </si>
  <si>
    <t>Improvements to drain and CC road Valmikinagar Behind Zero Building (Janda Slum) in ward no 141</t>
  </si>
  <si>
    <t>141-16-000036</t>
  </si>
  <si>
    <t>Improvement to Drain and CC road Valmikinagar 1st main 10th cross in ward no 141</t>
  </si>
  <si>
    <t>141-16-000034</t>
  </si>
  <si>
    <t>Improvement to Drain and CC road 2nd main 7th cross Valmikinagar in ward no 141</t>
  </si>
  <si>
    <t>141-16-000037</t>
  </si>
  <si>
    <t>Improvement to Drain and CC road 2nd main 10th cross Valmikinagar in ward no 141</t>
  </si>
  <si>
    <t>141-16-000038</t>
  </si>
  <si>
    <t>Improvement to Drain and CC road Valmikinagar 11th cross in ward no 141</t>
  </si>
  <si>
    <t>141-16-000035</t>
  </si>
  <si>
    <t>KARNATAKA RURAL INFRASTRUCTURE DEVELOPMENT LTD, (Formerly Karnataka land Corporation Ltd,)</t>
  </si>
  <si>
    <t>Improvements to drains and Footpaths and other CC works from Christian Burial Ground to Indian Oil Petrol Bunk in ward no 141</t>
  </si>
  <si>
    <t>141-17-000015</t>
  </si>
  <si>
    <t>Maintenance of Crematorium Burial ground and Office Maintenance in ward no 141</t>
  </si>
  <si>
    <t>141-18-000022</t>
  </si>
  <si>
    <t>Development CC works in ward no 141</t>
  </si>
  <si>
    <t>141-18-000029</t>
  </si>
  <si>
    <t>Drinking water works in ward no 141</t>
  </si>
  <si>
    <t>141-18-000024</t>
  </si>
  <si>
    <t>UGD water works in ward no 141 (Missing Bits)</t>
  </si>
  <si>
    <t>141-18-000026</t>
  </si>
  <si>
    <t>General Public Toilets and Septage Maintenance in ward no 141</t>
  </si>
  <si>
    <t>141-18-000025</t>
  </si>
  <si>
    <t>Community property Maintenance (including Park) in ward no 141</t>
  </si>
  <si>
    <t>141-18-000023</t>
  </si>
  <si>
    <t>Storm water drain works in ward no 141</t>
  </si>
  <si>
    <t>141-18-000028</t>
  </si>
  <si>
    <t>Roads and Footpath Maintenance in ward no 141</t>
  </si>
  <si>
    <t>141-18-000027</t>
  </si>
  <si>
    <t>Kridl West</t>
  </si>
  <si>
    <t>Providing Modren Dust Bin in Bangalore City in ward no 141</t>
  </si>
  <si>
    <t>141-17-000106</t>
  </si>
  <si>
    <t>Improvements to drains at Azadnagar 2nd Main Road Eastern and Westernside in Ward No. 141</t>
  </si>
  <si>
    <t>141-16-000005</t>
  </si>
  <si>
    <t>Improvements to drains at Ashwath katte Main Road Easternside and Westernside in Ward No. 141</t>
  </si>
  <si>
    <t>141-16-000004</t>
  </si>
  <si>
    <t>Ganjendran.</t>
  </si>
  <si>
    <t>Providing borewell pipeline at various places in ward jurisdiction in Ward No. 141</t>
  </si>
  <si>
    <t>141-17-000052</t>
  </si>
  <si>
    <t>Drilling of New Borewell and Pipeline at BMK layout 2nd cross in ward no 141</t>
  </si>
  <si>
    <t>141-16-000047</t>
  </si>
  <si>
    <t>Drilling of New Borewell and Pipeline at BMK layout Vittalnagar (West) in ward no 141</t>
  </si>
  <si>
    <t>141-16-000049</t>
  </si>
  <si>
    <t>Drilling of New Borewell and Pipeline at Azadnagar4th cross in ward no 141</t>
  </si>
  <si>
    <t>141-16-000048</t>
  </si>
  <si>
    <t>Drilling of New Borewell and Pipeline at Vittalnagar 2nd main 6th cross in ward no 141</t>
  </si>
  <si>
    <t>141-16-000046</t>
  </si>
  <si>
    <t>Drilling new borewell and pipeline at Azadnagar ward no 141 Valmikinagar surrounding area ward no 141</t>
  </si>
  <si>
    <t>141-17-000032</t>
  </si>
  <si>
    <t>Drilling new borewell and pipeline at Azadnagar ward no 141 Bande slub surrounding area ward no 141</t>
  </si>
  <si>
    <t>141-17-000031</t>
  </si>
  <si>
    <t>Providing water supply connection to existing Borewells at ward jurisdiction in ward no 141</t>
  </si>
  <si>
    <t>141-17-000012</t>
  </si>
  <si>
    <t>Sinking of Borewell and water supply connection at Rudrappa GArden opp. to Mulkattamma temple and surrounding areas in ward 141</t>
  </si>
  <si>
    <t>141-17-000003</t>
  </si>
  <si>
    <t>Sinking of Borewell and water supply connection at Rudrappa Garden and surrounding areas in ward 141</t>
  </si>
  <si>
    <t>141-17-000002</t>
  </si>
  <si>
    <t>Sinking of Borewell and water supply connection at Kasturiba nagar 1st main road and surrounding areas in ward 141</t>
  </si>
  <si>
    <t>141-17-000001</t>
  </si>
  <si>
    <t>Sinking of Borewell and water supply connection at Kasturiba nagar 8th main and surrounding areas in ward 141</t>
  </si>
  <si>
    <t>141-17-000004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</si>
</sst>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8"/>
  <sheetViews>
    <sheetView tabSelected="1" workbookViewId="0">
      <selection activeCell="A2" sqref="A2:XFD78"/>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834</v>
      </c>
      <c r="B2" s="13" t="s">
        <v>32</v>
      </c>
      <c r="C2" s="13">
        <v>43225</v>
      </c>
      <c r="D2" s="5">
        <v>141</v>
      </c>
      <c r="E2" s="6" t="s">
        <v>99</v>
      </c>
      <c r="F2" s="5" t="s">
        <v>260</v>
      </c>
      <c r="G2" s="6" t="s">
        <v>259</v>
      </c>
      <c r="H2" s="5" t="str">
        <f>"000110"</f>
        <v>000110</v>
      </c>
      <c r="I2" s="4">
        <v>42704</v>
      </c>
      <c r="J2" s="5" t="str">
        <f>"000155"</f>
        <v>000155</v>
      </c>
      <c r="K2" s="4">
        <v>42763</v>
      </c>
      <c r="L2" s="5" t="str">
        <f>"000663"</f>
        <v>000663</v>
      </c>
      <c r="M2" s="4">
        <v>42763</v>
      </c>
      <c r="N2" s="5">
        <v>17</v>
      </c>
      <c r="O2" s="5" t="str">
        <f>"001011"</f>
        <v>001011</v>
      </c>
      <c r="P2" s="4">
        <v>43223</v>
      </c>
      <c r="Q2" s="7">
        <v>12.406000000000001</v>
      </c>
      <c r="R2" s="7">
        <v>1.6012299999999999</v>
      </c>
      <c r="S2" s="7">
        <v>10.80477</v>
      </c>
      <c r="T2" s="5">
        <v>38</v>
      </c>
      <c r="U2" s="4">
        <v>43225</v>
      </c>
      <c r="V2" s="5">
        <v>9916950205</v>
      </c>
      <c r="W2" s="6" t="s">
        <v>89</v>
      </c>
      <c r="X2" s="5" t="s">
        <v>64</v>
      </c>
      <c r="Y2" s="6" t="s">
        <v>63</v>
      </c>
      <c r="Z2" s="5" t="s">
        <v>88</v>
      </c>
      <c r="AA2" s="6" t="s">
        <v>87</v>
      </c>
      <c r="AB2" s="7">
        <v>0.12406</v>
      </c>
      <c r="AD2" s="8"/>
      <c r="AF2" s="8"/>
      <c r="AG2" s="8"/>
    </row>
    <row r="3" spans="1:33" x14ac:dyDescent="0.2">
      <c r="A3" s="12">
        <v>835</v>
      </c>
      <c r="B3" s="13" t="s">
        <v>32</v>
      </c>
      <c r="C3" s="13">
        <v>43225</v>
      </c>
      <c r="D3" s="5">
        <v>141</v>
      </c>
      <c r="E3" s="6" t="s">
        <v>99</v>
      </c>
      <c r="F3" s="5" t="s">
        <v>258</v>
      </c>
      <c r="G3" s="6" t="s">
        <v>257</v>
      </c>
      <c r="H3" s="5" t="str">
        <f>"000103"</f>
        <v>000103</v>
      </c>
      <c r="I3" s="4">
        <v>42704</v>
      </c>
      <c r="J3" s="5" t="str">
        <f>"000156"</f>
        <v>000156</v>
      </c>
      <c r="K3" s="4">
        <v>42763</v>
      </c>
      <c r="L3" s="5" t="str">
        <f>"000664"</f>
        <v>000664</v>
      </c>
      <c r="M3" s="4">
        <v>42763</v>
      </c>
      <c r="N3" s="5">
        <v>17</v>
      </c>
      <c r="O3" s="5" t="str">
        <f>"001012"</f>
        <v>001012</v>
      </c>
      <c r="P3" s="4">
        <v>43223</v>
      </c>
      <c r="Q3" s="7">
        <v>11.839</v>
      </c>
      <c r="R3" s="7">
        <v>1.52227</v>
      </c>
      <c r="S3" s="7">
        <v>10.31673</v>
      </c>
      <c r="T3" s="5">
        <v>38</v>
      </c>
      <c r="U3" s="4">
        <v>43225</v>
      </c>
      <c r="V3" s="5">
        <v>9916950205</v>
      </c>
      <c r="W3" s="6" t="s">
        <v>89</v>
      </c>
      <c r="X3" s="5" t="s">
        <v>64</v>
      </c>
      <c r="Y3" s="6" t="s">
        <v>63</v>
      </c>
      <c r="Z3" s="5" t="s">
        <v>88</v>
      </c>
      <c r="AA3" s="6" t="s">
        <v>87</v>
      </c>
      <c r="AB3" s="7">
        <v>0.11839000000000001</v>
      </c>
      <c r="AD3" s="8"/>
      <c r="AF3" s="8"/>
      <c r="AG3" s="8"/>
    </row>
    <row r="4" spans="1:33" x14ac:dyDescent="0.2">
      <c r="A4" s="12">
        <v>836</v>
      </c>
      <c r="B4" s="13" t="s">
        <v>32</v>
      </c>
      <c r="C4" s="13">
        <v>43225</v>
      </c>
      <c r="D4" s="5">
        <v>141</v>
      </c>
      <c r="E4" s="6" t="s">
        <v>99</v>
      </c>
      <c r="F4" s="5" t="s">
        <v>256</v>
      </c>
      <c r="G4" s="6" t="s">
        <v>255</v>
      </c>
      <c r="H4" s="5" t="str">
        <f>"000107"</f>
        <v>000107</v>
      </c>
      <c r="I4" s="4">
        <v>42704</v>
      </c>
      <c r="J4" s="5" t="str">
        <f>"000157"</f>
        <v>000157</v>
      </c>
      <c r="K4" s="4">
        <v>42763</v>
      </c>
      <c r="L4" s="5" t="str">
        <f>"000665"</f>
        <v>000665</v>
      </c>
      <c r="M4" s="4">
        <v>42763</v>
      </c>
      <c r="N4" s="5">
        <v>17</v>
      </c>
      <c r="O4" s="5" t="str">
        <f>"001013"</f>
        <v>001013</v>
      </c>
      <c r="P4" s="4">
        <v>43223</v>
      </c>
      <c r="Q4" s="7">
        <v>12.433540000000001</v>
      </c>
      <c r="R4" s="7">
        <v>1.6019000000000001</v>
      </c>
      <c r="S4" s="7">
        <v>10.83164</v>
      </c>
      <c r="T4" s="5">
        <v>38</v>
      </c>
      <c r="U4" s="4">
        <v>43225</v>
      </c>
      <c r="V4" s="5">
        <v>9916950205</v>
      </c>
      <c r="W4" s="6" t="s">
        <v>89</v>
      </c>
      <c r="X4" s="5" t="s">
        <v>64</v>
      </c>
      <c r="Y4" s="6" t="s">
        <v>63</v>
      </c>
      <c r="Z4" s="5" t="s">
        <v>88</v>
      </c>
      <c r="AA4" s="6" t="s">
        <v>87</v>
      </c>
      <c r="AB4" s="7">
        <v>0.12433540000000001</v>
      </c>
      <c r="AD4" s="8"/>
      <c r="AF4" s="8"/>
      <c r="AG4" s="8"/>
    </row>
    <row r="5" spans="1:33" x14ac:dyDescent="0.2">
      <c r="A5" s="12">
        <v>837</v>
      </c>
      <c r="B5" s="13" t="s">
        <v>32</v>
      </c>
      <c r="C5" s="13">
        <v>43225</v>
      </c>
      <c r="D5" s="5">
        <v>141</v>
      </c>
      <c r="E5" s="6" t="s">
        <v>99</v>
      </c>
      <c r="F5" s="5" t="s">
        <v>254</v>
      </c>
      <c r="G5" s="6" t="s">
        <v>253</v>
      </c>
      <c r="H5" s="5" t="str">
        <f>"000113"</f>
        <v>000113</v>
      </c>
      <c r="I5" s="4">
        <v>42704</v>
      </c>
      <c r="J5" s="5" t="str">
        <f>"000142"</f>
        <v>000142</v>
      </c>
      <c r="K5" s="4">
        <v>42763</v>
      </c>
      <c r="L5" s="5" t="str">
        <f>"000667"</f>
        <v>000667</v>
      </c>
      <c r="M5" s="4">
        <v>42763</v>
      </c>
      <c r="N5" s="5">
        <v>17</v>
      </c>
      <c r="O5" s="5" t="str">
        <f>"001014"</f>
        <v>001014</v>
      </c>
      <c r="P5" s="4">
        <v>43223</v>
      </c>
      <c r="Q5" s="7">
        <v>12.4343</v>
      </c>
      <c r="R5" s="7">
        <v>1.60605</v>
      </c>
      <c r="S5" s="7">
        <v>10.828250000000001</v>
      </c>
      <c r="T5" s="5">
        <v>38</v>
      </c>
      <c r="U5" s="4">
        <v>43225</v>
      </c>
      <c r="V5" s="5">
        <v>9916950205</v>
      </c>
      <c r="W5" s="6" t="s">
        <v>89</v>
      </c>
      <c r="X5" s="5" t="s">
        <v>64</v>
      </c>
      <c r="Y5" s="6" t="s">
        <v>63</v>
      </c>
      <c r="Z5" s="5" t="s">
        <v>88</v>
      </c>
      <c r="AA5" s="6" t="s">
        <v>87</v>
      </c>
      <c r="AB5" s="7">
        <v>0.12434300000000001</v>
      </c>
      <c r="AD5" s="8"/>
      <c r="AF5" s="8"/>
      <c r="AG5" s="8"/>
    </row>
    <row r="6" spans="1:33" x14ac:dyDescent="0.2">
      <c r="A6" s="12">
        <v>838</v>
      </c>
      <c r="B6" s="13" t="s">
        <v>32</v>
      </c>
      <c r="C6" s="13">
        <v>43225</v>
      </c>
      <c r="D6" s="5">
        <v>141</v>
      </c>
      <c r="E6" s="6" t="s">
        <v>99</v>
      </c>
      <c r="F6" s="5" t="s">
        <v>252</v>
      </c>
      <c r="G6" s="6" t="s">
        <v>251</v>
      </c>
      <c r="H6" s="5" t="str">
        <f>"000179"</f>
        <v>000179</v>
      </c>
      <c r="I6" s="4">
        <v>42704</v>
      </c>
      <c r="J6" s="5" t="str">
        <f>"000166"</f>
        <v>000166</v>
      </c>
      <c r="K6" s="4">
        <v>42825</v>
      </c>
      <c r="L6" s="5" t="str">
        <f>"000680"</f>
        <v>000680</v>
      </c>
      <c r="M6" s="4">
        <v>42765</v>
      </c>
      <c r="N6" s="5">
        <v>17</v>
      </c>
      <c r="O6" s="5" t="str">
        <f>"001015"</f>
        <v>001015</v>
      </c>
      <c r="P6" s="4">
        <v>43223</v>
      </c>
      <c r="Q6" s="7">
        <v>12.572939999999999</v>
      </c>
      <c r="R6" s="7">
        <v>1.61802</v>
      </c>
      <c r="S6" s="7">
        <v>10.95492</v>
      </c>
      <c r="T6" s="5">
        <v>38</v>
      </c>
      <c r="U6" s="4">
        <v>43225</v>
      </c>
      <c r="V6" s="5">
        <v>9916950205</v>
      </c>
      <c r="W6" s="6" t="s">
        <v>89</v>
      </c>
      <c r="X6" s="5" t="s">
        <v>64</v>
      </c>
      <c r="Y6" s="6" t="s">
        <v>63</v>
      </c>
      <c r="Z6" s="5" t="s">
        <v>88</v>
      </c>
      <c r="AA6" s="6" t="s">
        <v>87</v>
      </c>
      <c r="AB6" s="7">
        <v>0.12572939999999999</v>
      </c>
      <c r="AD6" s="8"/>
      <c r="AF6" s="8"/>
      <c r="AG6" s="8"/>
    </row>
    <row r="7" spans="1:33" x14ac:dyDescent="0.2">
      <c r="A7" s="12">
        <v>839</v>
      </c>
      <c r="B7" s="13" t="s">
        <v>32</v>
      </c>
      <c r="C7" s="13">
        <v>43225</v>
      </c>
      <c r="D7" s="5">
        <v>141</v>
      </c>
      <c r="E7" s="6" t="s">
        <v>99</v>
      </c>
      <c r="F7" s="5" t="s">
        <v>250</v>
      </c>
      <c r="G7" s="6" t="s">
        <v>249</v>
      </c>
      <c r="H7" s="5" t="str">
        <f>"000376"</f>
        <v>000376</v>
      </c>
      <c r="I7" s="4">
        <v>42768</v>
      </c>
      <c r="J7" s="5" t="str">
        <f>"000186"</f>
        <v>000186</v>
      </c>
      <c r="K7" s="4">
        <v>42825</v>
      </c>
      <c r="L7" s="5" t="str">
        <f>"000741"</f>
        <v>000741</v>
      </c>
      <c r="M7" s="4">
        <v>42825</v>
      </c>
      <c r="N7" s="5">
        <v>17</v>
      </c>
      <c r="O7" s="5" t="str">
        <f>"001037"</f>
        <v>001037</v>
      </c>
      <c r="P7" s="4">
        <v>43223</v>
      </c>
      <c r="Q7" s="7">
        <v>9.2612400000000008</v>
      </c>
      <c r="R7" s="7">
        <v>1.3623400000000001</v>
      </c>
      <c r="S7" s="7">
        <v>7.8989000000000003</v>
      </c>
      <c r="T7" s="5">
        <v>38</v>
      </c>
      <c r="U7" s="4">
        <v>43225</v>
      </c>
      <c r="V7" s="5">
        <v>9886817582</v>
      </c>
      <c r="W7" s="6" t="s">
        <v>42</v>
      </c>
      <c r="X7" s="5" t="s">
        <v>47</v>
      </c>
      <c r="Y7" s="6" t="s">
        <v>46</v>
      </c>
      <c r="Z7" s="5" t="s">
        <v>88</v>
      </c>
      <c r="AA7" s="6" t="s">
        <v>87</v>
      </c>
      <c r="AB7" s="7">
        <v>9.2612400000000011E-2</v>
      </c>
      <c r="AD7" s="8"/>
      <c r="AF7" s="8"/>
      <c r="AG7" s="8"/>
    </row>
    <row r="8" spans="1:33" x14ac:dyDescent="0.2">
      <c r="A8" s="12">
        <v>840</v>
      </c>
      <c r="B8" s="13" t="s">
        <v>32</v>
      </c>
      <c r="C8" s="13">
        <v>43225</v>
      </c>
      <c r="D8" s="5">
        <v>141</v>
      </c>
      <c r="E8" s="6" t="s">
        <v>99</v>
      </c>
      <c r="F8" s="5" t="s">
        <v>248</v>
      </c>
      <c r="G8" s="6" t="s">
        <v>247</v>
      </c>
      <c r="H8" s="5" t="str">
        <f>"000374"</f>
        <v>000374</v>
      </c>
      <c r="I8" s="4">
        <v>42768</v>
      </c>
      <c r="J8" s="5" t="str">
        <f>"000187"</f>
        <v>000187</v>
      </c>
      <c r="K8" s="4">
        <v>42825</v>
      </c>
      <c r="L8" s="5" t="str">
        <f>"000742"</f>
        <v>000742</v>
      </c>
      <c r="M8" s="4">
        <v>42825</v>
      </c>
      <c r="N8" s="5">
        <v>17</v>
      </c>
      <c r="O8" s="5" t="str">
        <f>"001038"</f>
        <v>001038</v>
      </c>
      <c r="P8" s="4">
        <v>43223</v>
      </c>
      <c r="Q8" s="7">
        <v>7.2989800000000002</v>
      </c>
      <c r="R8" s="7">
        <v>1.0762400000000001</v>
      </c>
      <c r="S8" s="7">
        <v>6.2227399999999999</v>
      </c>
      <c r="T8" s="5">
        <v>38</v>
      </c>
      <c r="U8" s="4">
        <v>43225</v>
      </c>
      <c r="V8" s="5">
        <v>9886817582</v>
      </c>
      <c r="W8" s="6" t="s">
        <v>42</v>
      </c>
      <c r="X8" s="5" t="s">
        <v>47</v>
      </c>
      <c r="Y8" s="6" t="s">
        <v>46</v>
      </c>
      <c r="Z8" s="5" t="s">
        <v>88</v>
      </c>
      <c r="AA8" s="6" t="s">
        <v>87</v>
      </c>
      <c r="AB8" s="7">
        <v>7.2989800000000007E-2</v>
      </c>
      <c r="AD8" s="8"/>
      <c r="AF8" s="8"/>
      <c r="AG8" s="8"/>
    </row>
    <row r="9" spans="1:33" x14ac:dyDescent="0.2">
      <c r="A9" s="12">
        <v>1447</v>
      </c>
      <c r="B9" s="13" t="s">
        <v>32</v>
      </c>
      <c r="C9" s="13">
        <v>43242</v>
      </c>
      <c r="D9" s="5">
        <v>141</v>
      </c>
      <c r="E9" s="6" t="s">
        <v>99</v>
      </c>
      <c r="F9" s="5" t="s">
        <v>246</v>
      </c>
      <c r="G9" s="6" t="s">
        <v>245</v>
      </c>
      <c r="H9" s="5" t="str">
        <f>"000225"</f>
        <v>000225</v>
      </c>
      <c r="I9" s="4">
        <v>42723</v>
      </c>
      <c r="J9" s="5" t="str">
        <f>"000015"</f>
        <v>000015</v>
      </c>
      <c r="K9" s="4">
        <v>42843</v>
      </c>
      <c r="L9" s="5" t="str">
        <f>"000062"</f>
        <v>000062</v>
      </c>
      <c r="M9" s="4">
        <v>42853</v>
      </c>
      <c r="N9" s="5">
        <v>16</v>
      </c>
      <c r="O9" s="5" t="str">
        <f>"001639"</f>
        <v>001639</v>
      </c>
      <c r="P9" s="4">
        <v>43239</v>
      </c>
      <c r="Q9" s="7">
        <v>4.9961700000000002</v>
      </c>
      <c r="R9" s="7">
        <v>0.65300000000000002</v>
      </c>
      <c r="S9" s="7">
        <v>4.3431699999999998</v>
      </c>
      <c r="T9" s="5">
        <v>58</v>
      </c>
      <c r="U9" s="4">
        <v>43242</v>
      </c>
      <c r="V9" s="5">
        <v>9845873777</v>
      </c>
      <c r="W9" s="6" t="s">
        <v>84</v>
      </c>
      <c r="X9" s="5" t="s">
        <v>64</v>
      </c>
      <c r="Y9" s="6" t="s">
        <v>63</v>
      </c>
      <c r="Z9" s="5" t="s">
        <v>88</v>
      </c>
      <c r="AA9" s="6" t="s">
        <v>87</v>
      </c>
      <c r="AB9" s="7">
        <v>4.9961700000000005E-2</v>
      </c>
      <c r="AD9" s="8"/>
      <c r="AF9" s="8"/>
      <c r="AG9" s="8"/>
    </row>
    <row r="10" spans="1:33" x14ac:dyDescent="0.2">
      <c r="A10" s="12">
        <v>1448</v>
      </c>
      <c r="B10" s="13" t="s">
        <v>32</v>
      </c>
      <c r="C10" s="13">
        <v>43242</v>
      </c>
      <c r="D10" s="5">
        <v>141</v>
      </c>
      <c r="E10" s="6" t="s">
        <v>99</v>
      </c>
      <c r="F10" s="5" t="s">
        <v>244</v>
      </c>
      <c r="G10" s="6" t="s">
        <v>243</v>
      </c>
      <c r="H10" s="5" t="str">
        <f>"000265"</f>
        <v>000265</v>
      </c>
      <c r="I10" s="4">
        <v>42723</v>
      </c>
      <c r="J10" s="5" t="str">
        <f>"000018"</f>
        <v>000018</v>
      </c>
      <c r="K10" s="4">
        <v>42843</v>
      </c>
      <c r="L10" s="5" t="str">
        <f>"000063"</f>
        <v>000063</v>
      </c>
      <c r="M10" s="4">
        <v>42853</v>
      </c>
      <c r="N10" s="5">
        <v>16</v>
      </c>
      <c r="O10" s="5" t="str">
        <f>"001640"</f>
        <v>001640</v>
      </c>
      <c r="P10" s="4">
        <v>43239</v>
      </c>
      <c r="Q10" s="7">
        <v>4.98109</v>
      </c>
      <c r="R10" s="7">
        <v>0.63258000000000003</v>
      </c>
      <c r="S10" s="7">
        <v>4.3485100000000001</v>
      </c>
      <c r="T10" s="5">
        <v>58</v>
      </c>
      <c r="U10" s="4">
        <v>43242</v>
      </c>
      <c r="V10" s="5">
        <v>9845873777</v>
      </c>
      <c r="W10" s="6" t="s">
        <v>84</v>
      </c>
      <c r="X10" s="5" t="s">
        <v>64</v>
      </c>
      <c r="Y10" s="6" t="s">
        <v>63</v>
      </c>
      <c r="Z10" s="5" t="s">
        <v>88</v>
      </c>
      <c r="AA10" s="6" t="s">
        <v>87</v>
      </c>
      <c r="AB10" s="7">
        <v>4.9810899999999998E-2</v>
      </c>
      <c r="AD10" s="8"/>
      <c r="AF10" s="8"/>
      <c r="AG10" s="8"/>
    </row>
    <row r="11" spans="1:33" x14ac:dyDescent="0.2">
      <c r="A11" s="12">
        <v>1449</v>
      </c>
      <c r="B11" s="13" t="s">
        <v>32</v>
      </c>
      <c r="C11" s="13">
        <v>43242</v>
      </c>
      <c r="D11" s="5">
        <v>141</v>
      </c>
      <c r="E11" s="6" t="s">
        <v>99</v>
      </c>
      <c r="F11" s="5" t="s">
        <v>242</v>
      </c>
      <c r="G11" s="6" t="s">
        <v>241</v>
      </c>
      <c r="H11" s="5" t="str">
        <f>"000124"</f>
        <v>000124</v>
      </c>
      <c r="I11" s="4">
        <v>43191</v>
      </c>
      <c r="J11" s="5" t="str">
        <f>"000016"</f>
        <v>000016</v>
      </c>
      <c r="K11" s="4">
        <v>42843</v>
      </c>
      <c r="L11" s="5" t="str">
        <f>"000064"</f>
        <v>000064</v>
      </c>
      <c r="M11" s="4">
        <v>42853</v>
      </c>
      <c r="N11" s="5">
        <v>16</v>
      </c>
      <c r="O11" s="5" t="str">
        <f>"001641"</f>
        <v>001641</v>
      </c>
      <c r="P11" s="4">
        <v>43239</v>
      </c>
      <c r="Q11" s="7">
        <v>4.9737499999999999</v>
      </c>
      <c r="R11" s="7">
        <v>0.64983999999999997</v>
      </c>
      <c r="S11" s="7">
        <v>4.3239099999999997</v>
      </c>
      <c r="T11" s="5">
        <v>58</v>
      </c>
      <c r="U11" s="4">
        <v>43242</v>
      </c>
      <c r="V11" s="5">
        <v>9845873777</v>
      </c>
      <c r="W11" s="6" t="s">
        <v>84</v>
      </c>
      <c r="X11" s="5" t="s">
        <v>64</v>
      </c>
      <c r="Y11" s="6" t="s">
        <v>63</v>
      </c>
      <c r="Z11" s="5" t="s">
        <v>88</v>
      </c>
      <c r="AA11" s="6" t="s">
        <v>87</v>
      </c>
      <c r="AB11" s="7">
        <v>4.9737499999999997E-2</v>
      </c>
      <c r="AD11" s="8"/>
      <c r="AF11" s="8"/>
      <c r="AG11" s="8"/>
    </row>
    <row r="12" spans="1:33" x14ac:dyDescent="0.2">
      <c r="A12" s="12">
        <v>1450</v>
      </c>
      <c r="B12" s="13" t="s">
        <v>32</v>
      </c>
      <c r="C12" s="13">
        <v>43242</v>
      </c>
      <c r="D12" s="5">
        <v>141</v>
      </c>
      <c r="E12" s="6" t="s">
        <v>99</v>
      </c>
      <c r="F12" s="5" t="s">
        <v>240</v>
      </c>
      <c r="G12" s="6" t="s">
        <v>239</v>
      </c>
      <c r="H12" s="5" t="str">
        <f>"000154"</f>
        <v>000154</v>
      </c>
      <c r="I12" s="4">
        <v>42723</v>
      </c>
      <c r="J12" s="5" t="str">
        <f>"000017"</f>
        <v>000017</v>
      </c>
      <c r="K12" s="4">
        <v>42842</v>
      </c>
      <c r="L12" s="5" t="str">
        <f>"000065"</f>
        <v>000065</v>
      </c>
      <c r="M12" s="4">
        <v>42853</v>
      </c>
      <c r="N12" s="5">
        <v>16</v>
      </c>
      <c r="O12" s="5" t="str">
        <f>"001642"</f>
        <v>001642</v>
      </c>
      <c r="P12" s="4">
        <v>43239</v>
      </c>
      <c r="Q12" s="7">
        <v>4.9737499999999999</v>
      </c>
      <c r="R12" s="7">
        <v>0.64993999999999996</v>
      </c>
      <c r="S12" s="7">
        <v>4.3238099999999999</v>
      </c>
      <c r="T12" s="5">
        <v>58</v>
      </c>
      <c r="U12" s="4">
        <v>43242</v>
      </c>
      <c r="V12" s="5">
        <v>9845873777</v>
      </c>
      <c r="W12" s="6" t="s">
        <v>42</v>
      </c>
      <c r="X12" s="5" t="s">
        <v>64</v>
      </c>
      <c r="Y12" s="6" t="s">
        <v>63</v>
      </c>
      <c r="Z12" s="5" t="s">
        <v>88</v>
      </c>
      <c r="AA12" s="6" t="s">
        <v>87</v>
      </c>
      <c r="AB12" s="7">
        <v>4.9737499999999997E-2</v>
      </c>
      <c r="AD12" s="8"/>
      <c r="AF12" s="8"/>
      <c r="AG12" s="8"/>
    </row>
    <row r="13" spans="1:33" x14ac:dyDescent="0.2">
      <c r="A13" s="12">
        <v>2048</v>
      </c>
      <c r="B13" s="13" t="s">
        <v>45</v>
      </c>
      <c r="C13" s="13">
        <v>43262</v>
      </c>
      <c r="D13" s="5">
        <v>141</v>
      </c>
      <c r="E13" s="6" t="s">
        <v>99</v>
      </c>
      <c r="F13" s="5" t="s">
        <v>238</v>
      </c>
      <c r="G13" s="6" t="s">
        <v>237</v>
      </c>
      <c r="H13" s="5" t="str">
        <f>"000269"</f>
        <v>000269</v>
      </c>
      <c r="I13" s="4">
        <v>42812</v>
      </c>
      <c r="J13" s="5" t="str">
        <f>"000146"</f>
        <v>000146</v>
      </c>
      <c r="K13" s="4">
        <v>42896</v>
      </c>
      <c r="L13" s="5" t="str">
        <f>"000196"</f>
        <v>000196</v>
      </c>
      <c r="M13" s="4">
        <v>42906</v>
      </c>
      <c r="N13" s="5">
        <v>17</v>
      </c>
      <c r="O13" s="5" t="str">
        <f>"002203"</f>
        <v>002203</v>
      </c>
      <c r="P13" s="4">
        <v>43257</v>
      </c>
      <c r="Q13" s="7">
        <v>2.9982899999999999</v>
      </c>
      <c r="R13" s="7">
        <v>0.35339999999999999</v>
      </c>
      <c r="S13" s="7">
        <v>2.6448900000000002</v>
      </c>
      <c r="T13" s="5">
        <v>79</v>
      </c>
      <c r="U13" s="4">
        <v>43262</v>
      </c>
      <c r="V13" s="5">
        <v>9886817582</v>
      </c>
      <c r="W13" s="6" t="s">
        <v>236</v>
      </c>
      <c r="X13" s="5" t="s">
        <v>29</v>
      </c>
      <c r="Y13" s="6" t="s">
        <v>30</v>
      </c>
      <c r="Z13" s="5" t="s">
        <v>88</v>
      </c>
      <c r="AA13" s="6" t="s">
        <v>87</v>
      </c>
      <c r="AB13" s="7">
        <v>2.99829E-2</v>
      </c>
      <c r="AD13" s="8"/>
      <c r="AF13" s="8"/>
      <c r="AG13" s="8"/>
    </row>
    <row r="14" spans="1:33" x14ac:dyDescent="0.2">
      <c r="A14" s="12">
        <v>2049</v>
      </c>
      <c r="B14" s="13" t="s">
        <v>45</v>
      </c>
      <c r="C14" s="13">
        <v>43262</v>
      </c>
      <c r="D14" s="5">
        <v>141</v>
      </c>
      <c r="E14" s="6" t="s">
        <v>99</v>
      </c>
      <c r="F14" s="5" t="s">
        <v>235</v>
      </c>
      <c r="G14" s="6" t="s">
        <v>234</v>
      </c>
      <c r="H14" s="5" t="str">
        <f>"000022"</f>
        <v>000022</v>
      </c>
      <c r="I14" s="4">
        <v>42618</v>
      </c>
      <c r="J14" s="5" t="str">
        <f>"000367"</f>
        <v>000367</v>
      </c>
      <c r="K14" s="4">
        <v>42609</v>
      </c>
      <c r="L14" s="5" t="str">
        <f>"000462"</f>
        <v>000462</v>
      </c>
      <c r="M14" s="4">
        <v>42628</v>
      </c>
      <c r="N14" s="5">
        <v>16</v>
      </c>
      <c r="O14" s="5" t="str">
        <f>"002290"</f>
        <v>002290</v>
      </c>
      <c r="P14" s="4">
        <v>43258</v>
      </c>
      <c r="Q14" s="7">
        <v>14.72695</v>
      </c>
      <c r="R14" s="7">
        <v>1.89398</v>
      </c>
      <c r="S14" s="7">
        <v>12.83297</v>
      </c>
      <c r="T14" s="5">
        <v>80</v>
      </c>
      <c r="U14" s="4">
        <v>43262</v>
      </c>
      <c r="V14" s="5">
        <v>9886873382</v>
      </c>
      <c r="W14" s="6" t="s">
        <v>85</v>
      </c>
      <c r="X14" s="5" t="s">
        <v>29</v>
      </c>
      <c r="Y14" s="6" t="s">
        <v>30</v>
      </c>
      <c r="Z14" s="5" t="s">
        <v>82</v>
      </c>
      <c r="AA14" s="6" t="s">
        <v>81</v>
      </c>
      <c r="AB14" s="7">
        <v>0.1472695</v>
      </c>
      <c r="AD14" s="8"/>
      <c r="AF14" s="8"/>
      <c r="AG14" s="8"/>
    </row>
    <row r="15" spans="1:33" x14ac:dyDescent="0.2">
      <c r="A15" s="12">
        <v>2050</v>
      </c>
      <c r="B15" s="13" t="s">
        <v>45</v>
      </c>
      <c r="C15" s="13">
        <v>43262</v>
      </c>
      <c r="D15" s="5">
        <v>141</v>
      </c>
      <c r="E15" s="6" t="s">
        <v>99</v>
      </c>
      <c r="F15" s="5" t="s">
        <v>233</v>
      </c>
      <c r="G15" s="6" t="s">
        <v>232</v>
      </c>
      <c r="H15" s="5" t="str">
        <f>"000323"</f>
        <v>000323</v>
      </c>
      <c r="I15" s="4">
        <v>42618</v>
      </c>
      <c r="J15" s="5" t="str">
        <f>"000326"</f>
        <v>000326</v>
      </c>
      <c r="K15" s="4">
        <v>42609</v>
      </c>
      <c r="L15" s="5" t="str">
        <f>"000463"</f>
        <v>000463</v>
      </c>
      <c r="M15" s="4">
        <v>42628</v>
      </c>
      <c r="N15" s="5">
        <v>16</v>
      </c>
      <c r="O15" s="5" t="str">
        <f>"002291"</f>
        <v>002291</v>
      </c>
      <c r="P15" s="4">
        <v>43258</v>
      </c>
      <c r="Q15" s="7">
        <v>14.80836</v>
      </c>
      <c r="R15" s="7">
        <v>1.9080900000000001</v>
      </c>
      <c r="S15" s="7">
        <v>12.900270000000001</v>
      </c>
      <c r="T15" s="5">
        <v>80</v>
      </c>
      <c r="U15" s="4">
        <v>43262</v>
      </c>
      <c r="V15" s="5">
        <v>9886873382</v>
      </c>
      <c r="W15" s="6" t="s">
        <v>85</v>
      </c>
      <c r="X15" s="5" t="s">
        <v>29</v>
      </c>
      <c r="Y15" s="6" t="s">
        <v>30</v>
      </c>
      <c r="Z15" s="5" t="s">
        <v>82</v>
      </c>
      <c r="AA15" s="6" t="s">
        <v>81</v>
      </c>
      <c r="AB15" s="7">
        <v>0.14808360000000001</v>
      </c>
      <c r="AD15" s="8"/>
      <c r="AF15" s="8"/>
      <c r="AG15" s="8"/>
    </row>
    <row r="16" spans="1:33" x14ac:dyDescent="0.2">
      <c r="A16" s="12">
        <v>2150</v>
      </c>
      <c r="B16" s="13" t="s">
        <v>45</v>
      </c>
      <c r="C16" s="13">
        <v>43265</v>
      </c>
      <c r="D16" s="5">
        <v>141</v>
      </c>
      <c r="E16" s="6" t="s">
        <v>99</v>
      </c>
      <c r="F16" s="5" t="s">
        <v>231</v>
      </c>
      <c r="G16" s="6" t="s">
        <v>230</v>
      </c>
      <c r="H16" s="5" t="str">
        <f>"000086"</f>
        <v>000086</v>
      </c>
      <c r="I16" s="4">
        <v>43218</v>
      </c>
      <c r="J16" s="5" t="str">
        <f>"000056"</f>
        <v>000056</v>
      </c>
      <c r="K16" s="4">
        <v>43218</v>
      </c>
      <c r="L16" s="5" t="str">
        <f>"000073"</f>
        <v>000073</v>
      </c>
      <c r="M16" s="4">
        <v>43218</v>
      </c>
      <c r="N16" s="5">
        <v>17</v>
      </c>
      <c r="O16" s="5" t="str">
        <f>"002450"</f>
        <v>002450</v>
      </c>
      <c r="P16" s="4">
        <v>43263</v>
      </c>
      <c r="Q16" s="7">
        <v>1.4991000000000001</v>
      </c>
      <c r="R16" s="7">
        <v>0.13941000000000001</v>
      </c>
      <c r="S16" s="7">
        <v>1.3596900000000001</v>
      </c>
      <c r="T16" s="5">
        <v>84</v>
      </c>
      <c r="U16" s="4">
        <v>43265</v>
      </c>
      <c r="V16" s="5">
        <v>9916950205</v>
      </c>
      <c r="W16" s="6" t="s">
        <v>229</v>
      </c>
      <c r="X16" s="5" t="s">
        <v>34</v>
      </c>
      <c r="Y16" s="6" t="s">
        <v>35</v>
      </c>
      <c r="Z16" s="5" t="s">
        <v>88</v>
      </c>
      <c r="AA16" s="6" t="s">
        <v>87</v>
      </c>
      <c r="AB16" s="7">
        <v>1.4991000000000001E-2</v>
      </c>
      <c r="AD16" s="8"/>
      <c r="AF16" s="8"/>
      <c r="AG16" s="8"/>
    </row>
    <row r="17" spans="1:33" x14ac:dyDescent="0.2">
      <c r="A17" s="12">
        <v>2419</v>
      </c>
      <c r="B17" s="13" t="s">
        <v>45</v>
      </c>
      <c r="C17" s="13">
        <v>43271</v>
      </c>
      <c r="D17" s="5">
        <v>141</v>
      </c>
      <c r="E17" s="6" t="s">
        <v>99</v>
      </c>
      <c r="F17" s="5" t="s">
        <v>228</v>
      </c>
      <c r="G17" s="6" t="s">
        <v>227</v>
      </c>
      <c r="H17" s="5" t="str">
        <f>"000133"</f>
        <v>000133</v>
      </c>
      <c r="I17" s="4">
        <v>43130</v>
      </c>
      <c r="J17" s="5" t="str">
        <f>"000080"</f>
        <v>000080</v>
      </c>
      <c r="K17" s="4">
        <v>43130</v>
      </c>
      <c r="L17" s="5" t="str">
        <f>"000130"</f>
        <v>000130</v>
      </c>
      <c r="M17" s="4">
        <v>43130</v>
      </c>
      <c r="N17" s="5">
        <v>18</v>
      </c>
      <c r="O17" s="5" t="str">
        <f>"002715"</f>
        <v>002715</v>
      </c>
      <c r="P17" s="4">
        <v>43270</v>
      </c>
      <c r="Q17" s="7">
        <v>14.9969</v>
      </c>
      <c r="R17" s="7">
        <v>1.4697</v>
      </c>
      <c r="S17" s="7">
        <v>13.527200000000001</v>
      </c>
      <c r="T17" s="5">
        <v>97</v>
      </c>
      <c r="U17" s="4">
        <v>43271</v>
      </c>
      <c r="V17" s="5">
        <v>9916950205</v>
      </c>
      <c r="W17" s="6" t="s">
        <v>42</v>
      </c>
      <c r="X17" s="5" t="s">
        <v>55</v>
      </c>
      <c r="Y17" s="6" t="s">
        <v>54</v>
      </c>
      <c r="Z17" s="5" t="s">
        <v>88</v>
      </c>
      <c r="AA17" s="6" t="s">
        <v>87</v>
      </c>
      <c r="AB17" s="7">
        <v>0.14996899999999999</v>
      </c>
      <c r="AD17" s="8"/>
      <c r="AF17" s="8"/>
      <c r="AG17" s="8"/>
    </row>
    <row r="18" spans="1:33" x14ac:dyDescent="0.2">
      <c r="A18" s="12">
        <v>2420</v>
      </c>
      <c r="B18" s="13" t="s">
        <v>45</v>
      </c>
      <c r="C18" s="13">
        <v>43271</v>
      </c>
      <c r="D18" s="5">
        <v>141</v>
      </c>
      <c r="E18" s="6" t="s">
        <v>99</v>
      </c>
      <c r="F18" s="5" t="s">
        <v>226</v>
      </c>
      <c r="G18" s="6" t="s">
        <v>225</v>
      </c>
      <c r="H18" s="5" t="str">
        <f>"000134"</f>
        <v>000134</v>
      </c>
      <c r="I18" s="4">
        <v>43130</v>
      </c>
      <c r="J18" s="5" t="str">
        <f>"000078"</f>
        <v>000078</v>
      </c>
      <c r="K18" s="4">
        <v>43130</v>
      </c>
      <c r="L18" s="5" t="str">
        <f>"000127"</f>
        <v>000127</v>
      </c>
      <c r="M18" s="4">
        <v>43130</v>
      </c>
      <c r="N18" s="5">
        <v>18</v>
      </c>
      <c r="O18" s="5" t="str">
        <f>"002716"</f>
        <v>002716</v>
      </c>
      <c r="P18" s="4">
        <v>43270</v>
      </c>
      <c r="Q18" s="7">
        <v>9.9982900000000008</v>
      </c>
      <c r="R18" s="7">
        <v>0.97984000000000004</v>
      </c>
      <c r="S18" s="7">
        <v>9.0184499999999996</v>
      </c>
      <c r="T18" s="5">
        <v>97</v>
      </c>
      <c r="U18" s="4">
        <v>43271</v>
      </c>
      <c r="V18" s="5">
        <v>9916950205</v>
      </c>
      <c r="W18" s="6" t="s">
        <v>42</v>
      </c>
      <c r="X18" s="5" t="s">
        <v>58</v>
      </c>
      <c r="Y18" s="6" t="s">
        <v>57</v>
      </c>
      <c r="Z18" s="5" t="s">
        <v>88</v>
      </c>
      <c r="AA18" s="6" t="s">
        <v>87</v>
      </c>
      <c r="AB18" s="7">
        <v>9.9982900000000013E-2</v>
      </c>
      <c r="AD18" s="8"/>
      <c r="AF18" s="8"/>
      <c r="AG18" s="8"/>
    </row>
    <row r="19" spans="1:33" x14ac:dyDescent="0.2">
      <c r="A19" s="12">
        <v>2421</v>
      </c>
      <c r="B19" s="13" t="s">
        <v>45</v>
      </c>
      <c r="C19" s="13">
        <v>43271</v>
      </c>
      <c r="D19" s="5">
        <v>141</v>
      </c>
      <c r="E19" s="6" t="s">
        <v>99</v>
      </c>
      <c r="F19" s="5" t="s">
        <v>224</v>
      </c>
      <c r="G19" s="6" t="s">
        <v>223</v>
      </c>
      <c r="H19" s="5" t="str">
        <f>"000131"</f>
        <v>000131</v>
      </c>
      <c r="I19" s="4">
        <v>43130</v>
      </c>
      <c r="J19" s="5" t="str">
        <f>"000074"</f>
        <v>000074</v>
      </c>
      <c r="K19" s="4">
        <v>43130</v>
      </c>
      <c r="L19" s="5" t="str">
        <f>"000125"</f>
        <v>000125</v>
      </c>
      <c r="M19" s="4">
        <v>43130</v>
      </c>
      <c r="N19" s="5">
        <v>18</v>
      </c>
      <c r="O19" s="5" t="str">
        <f>"002717"</f>
        <v>002717</v>
      </c>
      <c r="P19" s="4">
        <v>43270</v>
      </c>
      <c r="Q19" s="7">
        <v>4.9924600000000003</v>
      </c>
      <c r="R19" s="7">
        <v>0.46429999999999999</v>
      </c>
      <c r="S19" s="7">
        <v>4.5281599999999997</v>
      </c>
      <c r="T19" s="5">
        <v>97</v>
      </c>
      <c r="U19" s="4">
        <v>43271</v>
      </c>
      <c r="V19" s="5">
        <v>9916950205</v>
      </c>
      <c r="W19" s="6" t="s">
        <v>42</v>
      </c>
      <c r="X19" s="5" t="s">
        <v>49</v>
      </c>
      <c r="Y19" s="6" t="s">
        <v>48</v>
      </c>
      <c r="Z19" s="5" t="s">
        <v>88</v>
      </c>
      <c r="AA19" s="6" t="s">
        <v>87</v>
      </c>
      <c r="AB19" s="7">
        <v>4.9924600000000006E-2</v>
      </c>
      <c r="AD19" s="8"/>
      <c r="AF19" s="8"/>
      <c r="AG19" s="8"/>
    </row>
    <row r="20" spans="1:33" x14ac:dyDescent="0.2">
      <c r="A20" s="12">
        <v>2422</v>
      </c>
      <c r="B20" s="13" t="s">
        <v>45</v>
      </c>
      <c r="C20" s="13">
        <v>43271</v>
      </c>
      <c r="D20" s="5">
        <v>141</v>
      </c>
      <c r="E20" s="6" t="s">
        <v>99</v>
      </c>
      <c r="F20" s="5" t="s">
        <v>222</v>
      </c>
      <c r="G20" s="6" t="s">
        <v>221</v>
      </c>
      <c r="H20" s="5" t="str">
        <f>"000136"</f>
        <v>000136</v>
      </c>
      <c r="I20" s="4">
        <v>43130</v>
      </c>
      <c r="J20" s="5" t="str">
        <f>"000076"</f>
        <v>000076</v>
      </c>
      <c r="K20" s="4">
        <v>43130</v>
      </c>
      <c r="L20" s="5" t="str">
        <f>"000126"</f>
        <v>000126</v>
      </c>
      <c r="M20" s="4">
        <v>43130</v>
      </c>
      <c r="N20" s="5">
        <v>18</v>
      </c>
      <c r="O20" s="5" t="str">
        <f>"002718"</f>
        <v>002718</v>
      </c>
      <c r="P20" s="4">
        <v>43270</v>
      </c>
      <c r="Q20" s="7">
        <v>4.9945599999999999</v>
      </c>
      <c r="R20" s="7">
        <v>0.46449000000000001</v>
      </c>
      <c r="S20" s="7">
        <v>4.5300700000000003</v>
      </c>
      <c r="T20" s="5">
        <v>97</v>
      </c>
      <c r="U20" s="4">
        <v>43271</v>
      </c>
      <c r="V20" s="5">
        <v>9916950205</v>
      </c>
      <c r="W20" s="6" t="s">
        <v>42</v>
      </c>
      <c r="X20" s="5" t="s">
        <v>53</v>
      </c>
      <c r="Y20" s="6" t="s">
        <v>52</v>
      </c>
      <c r="Z20" s="5" t="s">
        <v>88</v>
      </c>
      <c r="AA20" s="6" t="s">
        <v>87</v>
      </c>
      <c r="AB20" s="7">
        <v>4.99456E-2</v>
      </c>
      <c r="AD20" s="8"/>
      <c r="AF20" s="8"/>
      <c r="AG20" s="8"/>
    </row>
    <row r="21" spans="1:33" x14ac:dyDescent="0.2">
      <c r="A21" s="12">
        <v>2423</v>
      </c>
      <c r="B21" s="13" t="s">
        <v>45</v>
      </c>
      <c r="C21" s="13">
        <v>43271</v>
      </c>
      <c r="D21" s="5">
        <v>141</v>
      </c>
      <c r="E21" s="6" t="s">
        <v>99</v>
      </c>
      <c r="F21" s="5" t="s">
        <v>220</v>
      </c>
      <c r="G21" s="6" t="s">
        <v>219</v>
      </c>
      <c r="H21" s="5" t="str">
        <f>"000129"</f>
        <v>000129</v>
      </c>
      <c r="I21" s="4">
        <v>43130</v>
      </c>
      <c r="J21" s="5" t="str">
        <f>"000077"</f>
        <v>000077</v>
      </c>
      <c r="K21" s="4">
        <v>43130</v>
      </c>
      <c r="L21" s="5" t="str">
        <f>"000128"</f>
        <v>000128</v>
      </c>
      <c r="M21" s="4">
        <v>43130</v>
      </c>
      <c r="N21" s="5">
        <v>18</v>
      </c>
      <c r="O21" s="5" t="str">
        <f>"002719"</f>
        <v>002719</v>
      </c>
      <c r="P21" s="4">
        <v>43270</v>
      </c>
      <c r="Q21" s="7">
        <v>14.988479999999999</v>
      </c>
      <c r="R21" s="7">
        <v>1.4688699999999999</v>
      </c>
      <c r="S21" s="7">
        <v>13.51961</v>
      </c>
      <c r="T21" s="5">
        <v>97</v>
      </c>
      <c r="U21" s="4">
        <v>43271</v>
      </c>
      <c r="V21" s="5">
        <v>9916950205</v>
      </c>
      <c r="W21" s="6" t="s">
        <v>42</v>
      </c>
      <c r="X21" s="5" t="s">
        <v>60</v>
      </c>
      <c r="Y21" s="6" t="s">
        <v>59</v>
      </c>
      <c r="Z21" s="5" t="s">
        <v>88</v>
      </c>
      <c r="AA21" s="6" t="s">
        <v>87</v>
      </c>
      <c r="AB21" s="7">
        <v>0.14988479999999998</v>
      </c>
      <c r="AD21" s="8"/>
      <c r="AF21" s="8"/>
      <c r="AG21" s="8"/>
    </row>
    <row r="22" spans="1:33" x14ac:dyDescent="0.2">
      <c r="A22" s="12">
        <v>2424</v>
      </c>
      <c r="B22" s="13" t="s">
        <v>45</v>
      </c>
      <c r="C22" s="13">
        <v>43271</v>
      </c>
      <c r="D22" s="5">
        <v>141</v>
      </c>
      <c r="E22" s="6" t="s">
        <v>99</v>
      </c>
      <c r="F22" s="5" t="s">
        <v>218</v>
      </c>
      <c r="G22" s="6" t="s">
        <v>217</v>
      </c>
      <c r="H22" s="5" t="str">
        <f>"000132"</f>
        <v>000132</v>
      </c>
      <c r="I22" s="4">
        <v>43130</v>
      </c>
      <c r="J22" s="5" t="str">
        <f>"000075"</f>
        <v>000075</v>
      </c>
      <c r="K22" s="4">
        <v>43130</v>
      </c>
      <c r="L22" s="5" t="str">
        <f>"000123"</f>
        <v>000123</v>
      </c>
      <c r="M22" s="4">
        <v>43130</v>
      </c>
      <c r="N22" s="5">
        <v>18</v>
      </c>
      <c r="O22" s="5" t="str">
        <f>"002720"</f>
        <v>002720</v>
      </c>
      <c r="P22" s="4">
        <v>43270</v>
      </c>
      <c r="Q22" s="7">
        <v>69.993880000000004</v>
      </c>
      <c r="R22" s="7">
        <v>7.2093699999999998</v>
      </c>
      <c r="S22" s="7">
        <v>62.784509999999997</v>
      </c>
      <c r="T22" s="5">
        <v>97</v>
      </c>
      <c r="U22" s="4">
        <v>43271</v>
      </c>
      <c r="V22" s="5">
        <v>9916950205</v>
      </c>
      <c r="W22" s="6" t="s">
        <v>42</v>
      </c>
      <c r="X22" s="5" t="s">
        <v>74</v>
      </c>
      <c r="Y22" s="6" t="s">
        <v>73</v>
      </c>
      <c r="Z22" s="5" t="s">
        <v>88</v>
      </c>
      <c r="AA22" s="6" t="s">
        <v>87</v>
      </c>
      <c r="AB22" s="7">
        <v>0.69993880000000008</v>
      </c>
      <c r="AD22" s="8"/>
      <c r="AF22" s="8"/>
      <c r="AG22" s="8"/>
    </row>
    <row r="23" spans="1:33" x14ac:dyDescent="0.2">
      <c r="A23" s="12">
        <v>2425</v>
      </c>
      <c r="B23" s="13" t="s">
        <v>45</v>
      </c>
      <c r="C23" s="13">
        <v>43271</v>
      </c>
      <c r="D23" s="5">
        <v>141</v>
      </c>
      <c r="E23" s="6" t="s">
        <v>99</v>
      </c>
      <c r="F23" s="5" t="s">
        <v>216</v>
      </c>
      <c r="G23" s="6" t="s">
        <v>215</v>
      </c>
      <c r="H23" s="5" t="str">
        <f>"000135"</f>
        <v>000135</v>
      </c>
      <c r="I23" s="4">
        <v>43130</v>
      </c>
      <c r="J23" s="5" t="str">
        <f>"000079"</f>
        <v>000079</v>
      </c>
      <c r="K23" s="4">
        <v>43130</v>
      </c>
      <c r="L23" s="5" t="str">
        <f>"000129"</f>
        <v>000129</v>
      </c>
      <c r="M23" s="4">
        <v>43130</v>
      </c>
      <c r="N23" s="5">
        <v>18</v>
      </c>
      <c r="O23" s="5" t="str">
        <f>"002721"</f>
        <v>002721</v>
      </c>
      <c r="P23" s="4">
        <v>43270</v>
      </c>
      <c r="Q23" s="7">
        <v>44.99044</v>
      </c>
      <c r="R23" s="7">
        <v>4.63401</v>
      </c>
      <c r="S23" s="7">
        <v>40.356430000000003</v>
      </c>
      <c r="T23" s="5">
        <v>97</v>
      </c>
      <c r="U23" s="4">
        <v>43271</v>
      </c>
      <c r="V23" s="5">
        <v>9916950205</v>
      </c>
      <c r="W23" s="6" t="s">
        <v>42</v>
      </c>
      <c r="X23" s="5" t="s">
        <v>78</v>
      </c>
      <c r="Y23" s="6" t="s">
        <v>77</v>
      </c>
      <c r="Z23" s="5" t="s">
        <v>88</v>
      </c>
      <c r="AA23" s="6" t="s">
        <v>87</v>
      </c>
      <c r="AB23" s="7">
        <v>0.44990439999999998</v>
      </c>
      <c r="AD23" s="8"/>
      <c r="AF23" s="8"/>
      <c r="AG23" s="8"/>
    </row>
    <row r="24" spans="1:33" x14ac:dyDescent="0.2">
      <c r="A24" s="12">
        <v>2426</v>
      </c>
      <c r="B24" s="13" t="s">
        <v>45</v>
      </c>
      <c r="C24" s="13">
        <v>43271</v>
      </c>
      <c r="D24" s="5">
        <v>141</v>
      </c>
      <c r="E24" s="6" t="s">
        <v>99</v>
      </c>
      <c r="F24" s="5" t="s">
        <v>214</v>
      </c>
      <c r="G24" s="6" t="s">
        <v>213</v>
      </c>
      <c r="H24" s="5" t="str">
        <f>"000130"</f>
        <v>000130</v>
      </c>
      <c r="I24" s="4">
        <v>43130</v>
      </c>
      <c r="J24" s="5" t="str">
        <f>"000073"</f>
        <v>000073</v>
      </c>
      <c r="K24" s="4">
        <v>43130</v>
      </c>
      <c r="L24" s="5" t="str">
        <f>"000124"</f>
        <v>000124</v>
      </c>
      <c r="M24" s="4">
        <v>43130</v>
      </c>
      <c r="N24" s="5">
        <v>18</v>
      </c>
      <c r="O24" s="5" t="str">
        <f>"002722"</f>
        <v>002722</v>
      </c>
      <c r="P24" s="4">
        <v>43270</v>
      </c>
      <c r="Q24" s="7">
        <v>124.99375000000001</v>
      </c>
      <c r="R24" s="7">
        <v>12.874359999999999</v>
      </c>
      <c r="S24" s="7">
        <v>112.11939</v>
      </c>
      <c r="T24" s="5">
        <v>97</v>
      </c>
      <c r="U24" s="4">
        <v>43271</v>
      </c>
      <c r="V24" s="5">
        <v>9916950205</v>
      </c>
      <c r="W24" s="6" t="s">
        <v>42</v>
      </c>
      <c r="X24" s="5" t="s">
        <v>51</v>
      </c>
      <c r="Y24" s="6" t="s">
        <v>50</v>
      </c>
      <c r="Z24" s="5" t="s">
        <v>88</v>
      </c>
      <c r="AA24" s="6" t="s">
        <v>87</v>
      </c>
      <c r="AB24" s="7">
        <v>1.2499375000000001</v>
      </c>
      <c r="AD24" s="8"/>
      <c r="AF24" s="8"/>
      <c r="AG24" s="8"/>
    </row>
    <row r="25" spans="1:33" x14ac:dyDescent="0.2">
      <c r="A25" s="12">
        <v>2908</v>
      </c>
      <c r="B25" s="13" t="s">
        <v>31</v>
      </c>
      <c r="C25" s="13">
        <v>43283</v>
      </c>
      <c r="D25" s="5">
        <v>141</v>
      </c>
      <c r="E25" s="6" t="s">
        <v>99</v>
      </c>
      <c r="F25" s="5" t="s">
        <v>212</v>
      </c>
      <c r="G25" s="6" t="s">
        <v>211</v>
      </c>
      <c r="H25" s="5" t="str">
        <f>"000246"</f>
        <v>000246</v>
      </c>
      <c r="I25" s="4">
        <v>43180</v>
      </c>
      <c r="J25" s="5" t="str">
        <f>"000159"</f>
        <v>000159</v>
      </c>
      <c r="K25" s="4">
        <v>43180</v>
      </c>
      <c r="L25" s="5" t="str">
        <f>"000238"</f>
        <v>000238</v>
      </c>
      <c r="M25" s="4">
        <v>43180</v>
      </c>
      <c r="N25" s="5">
        <v>17</v>
      </c>
      <c r="O25" s="5" t="str">
        <f>"003204"</f>
        <v>003204</v>
      </c>
      <c r="P25" s="4">
        <v>43281</v>
      </c>
      <c r="Q25" s="7">
        <v>19.87669</v>
      </c>
      <c r="R25" s="7">
        <v>2.0572699999999999</v>
      </c>
      <c r="S25" s="7">
        <v>17.819420000000001</v>
      </c>
      <c r="T25" s="5">
        <v>104</v>
      </c>
      <c r="U25" s="4">
        <v>43283</v>
      </c>
      <c r="V25" s="5">
        <v>9986022343</v>
      </c>
      <c r="W25" s="6" t="s">
        <v>210</v>
      </c>
      <c r="X25" s="5" t="s">
        <v>41</v>
      </c>
      <c r="Y25" s="6" t="s">
        <v>40</v>
      </c>
      <c r="Z25" s="5" t="s">
        <v>88</v>
      </c>
      <c r="AA25" s="6" t="s">
        <v>87</v>
      </c>
      <c r="AB25" s="7">
        <v>0.1987669</v>
      </c>
      <c r="AD25" s="8"/>
      <c r="AF25" s="8"/>
      <c r="AG25" s="8"/>
    </row>
    <row r="26" spans="1:33" x14ac:dyDescent="0.2">
      <c r="A26" s="12">
        <v>3333</v>
      </c>
      <c r="B26" s="13" t="s">
        <v>31</v>
      </c>
      <c r="C26" s="13">
        <v>43297</v>
      </c>
      <c r="D26" s="5">
        <v>141</v>
      </c>
      <c r="E26" s="6" t="s">
        <v>99</v>
      </c>
      <c r="F26" s="5" t="s">
        <v>209</v>
      </c>
      <c r="G26" s="6" t="s">
        <v>208</v>
      </c>
      <c r="H26" s="5" t="str">
        <f>"000279"</f>
        <v>000279</v>
      </c>
      <c r="I26" s="4">
        <v>42646</v>
      </c>
      <c r="J26" s="5" t="str">
        <f>"000151"</f>
        <v>000151</v>
      </c>
      <c r="K26" s="4">
        <v>42733</v>
      </c>
      <c r="L26" s="5" t="str">
        <f>"000631"</f>
        <v>000631</v>
      </c>
      <c r="M26" s="4">
        <v>42734</v>
      </c>
      <c r="N26" s="5">
        <v>16</v>
      </c>
      <c r="O26" s="5" t="str">
        <f>"003536"</f>
        <v>003536</v>
      </c>
      <c r="P26" s="4">
        <v>43291</v>
      </c>
      <c r="Q26" s="7">
        <v>10</v>
      </c>
      <c r="R26" s="7">
        <v>1.5156000000000001</v>
      </c>
      <c r="S26" s="7">
        <v>8.4844000000000008</v>
      </c>
      <c r="T26" s="5">
        <v>125</v>
      </c>
      <c r="U26" s="4">
        <v>43297</v>
      </c>
      <c r="V26" s="5">
        <v>9886817582</v>
      </c>
      <c r="W26" s="6" t="s">
        <v>42</v>
      </c>
      <c r="X26" s="5" t="s">
        <v>64</v>
      </c>
      <c r="Y26" s="6" t="s">
        <v>63</v>
      </c>
      <c r="Z26" s="5" t="s">
        <v>88</v>
      </c>
      <c r="AA26" s="6" t="s">
        <v>87</v>
      </c>
      <c r="AB26" s="7">
        <v>0.1</v>
      </c>
      <c r="AD26" s="8"/>
      <c r="AF26" s="8"/>
      <c r="AG26" s="8"/>
    </row>
    <row r="27" spans="1:33" x14ac:dyDescent="0.2">
      <c r="A27" s="12">
        <v>3334</v>
      </c>
      <c r="B27" s="13" t="s">
        <v>31</v>
      </c>
      <c r="C27" s="13">
        <v>43297</v>
      </c>
      <c r="D27" s="5">
        <v>141</v>
      </c>
      <c r="E27" s="6" t="s">
        <v>99</v>
      </c>
      <c r="F27" s="5" t="s">
        <v>207</v>
      </c>
      <c r="G27" s="6" t="s">
        <v>206</v>
      </c>
      <c r="H27" s="5" t="str">
        <f>"000177"</f>
        <v>000177</v>
      </c>
      <c r="I27" s="4">
        <v>42646</v>
      </c>
      <c r="J27" s="5" t="str">
        <f>"000150"</f>
        <v>000150</v>
      </c>
      <c r="K27" s="4">
        <v>42722</v>
      </c>
      <c r="L27" s="5" t="str">
        <f>"000633"</f>
        <v>000633</v>
      </c>
      <c r="M27" s="4">
        <v>42734</v>
      </c>
      <c r="N27" s="5">
        <v>16</v>
      </c>
      <c r="O27" s="5" t="str">
        <f>"003538"</f>
        <v>003538</v>
      </c>
      <c r="P27" s="4">
        <v>43291</v>
      </c>
      <c r="Q27" s="7">
        <v>10</v>
      </c>
      <c r="R27" s="7">
        <v>1.5148999999999999</v>
      </c>
      <c r="S27" s="7">
        <v>8.4850999999999992</v>
      </c>
      <c r="T27" s="5">
        <v>125</v>
      </c>
      <c r="U27" s="4">
        <v>43297</v>
      </c>
      <c r="V27" s="5">
        <v>9886817582</v>
      </c>
      <c r="W27" s="6" t="s">
        <v>84</v>
      </c>
      <c r="X27" s="5" t="s">
        <v>64</v>
      </c>
      <c r="Y27" s="6" t="s">
        <v>63</v>
      </c>
      <c r="Z27" s="5" t="s">
        <v>88</v>
      </c>
      <c r="AA27" s="6" t="s">
        <v>87</v>
      </c>
      <c r="AB27" s="7">
        <v>0.1</v>
      </c>
      <c r="AD27" s="8"/>
      <c r="AF27" s="8"/>
      <c r="AG27" s="8"/>
    </row>
    <row r="28" spans="1:33" x14ac:dyDescent="0.2">
      <c r="A28" s="12">
        <v>3335</v>
      </c>
      <c r="B28" s="13" t="s">
        <v>31</v>
      </c>
      <c r="C28" s="13">
        <v>43297</v>
      </c>
      <c r="D28" s="5">
        <v>141</v>
      </c>
      <c r="E28" s="6" t="s">
        <v>99</v>
      </c>
      <c r="F28" s="5" t="s">
        <v>205</v>
      </c>
      <c r="G28" s="6" t="s">
        <v>204</v>
      </c>
      <c r="H28" s="5" t="str">
        <f>"000276"</f>
        <v>000276</v>
      </c>
      <c r="I28" s="4">
        <v>42646</v>
      </c>
      <c r="J28" s="5" t="str">
        <f>"000259"</f>
        <v>000259</v>
      </c>
      <c r="K28" s="4">
        <v>42723</v>
      </c>
      <c r="L28" s="5" t="str">
        <f>"000634"</f>
        <v>000634</v>
      </c>
      <c r="M28" s="4">
        <v>42734</v>
      </c>
      <c r="N28" s="5">
        <v>16</v>
      </c>
      <c r="O28" s="5" t="str">
        <f>"003539"</f>
        <v>003539</v>
      </c>
      <c r="P28" s="4">
        <v>43291</v>
      </c>
      <c r="Q28" s="7">
        <v>10</v>
      </c>
      <c r="R28" s="7">
        <v>1.5076000000000001</v>
      </c>
      <c r="S28" s="7">
        <v>8.4923999999999999</v>
      </c>
      <c r="T28" s="5">
        <v>125</v>
      </c>
      <c r="U28" s="4">
        <v>43297</v>
      </c>
      <c r="V28" s="5">
        <v>9886817582</v>
      </c>
      <c r="W28" s="6" t="s">
        <v>42</v>
      </c>
      <c r="X28" s="5" t="s">
        <v>64</v>
      </c>
      <c r="Y28" s="6" t="s">
        <v>63</v>
      </c>
      <c r="Z28" s="5" t="s">
        <v>88</v>
      </c>
      <c r="AA28" s="6" t="s">
        <v>87</v>
      </c>
      <c r="AB28" s="7">
        <v>0.1</v>
      </c>
      <c r="AD28" s="8"/>
      <c r="AF28" s="8"/>
      <c r="AG28" s="8"/>
    </row>
    <row r="29" spans="1:33" x14ac:dyDescent="0.2">
      <c r="A29" s="12">
        <v>3336</v>
      </c>
      <c r="B29" s="13" t="s">
        <v>31</v>
      </c>
      <c r="C29" s="13">
        <v>43297</v>
      </c>
      <c r="D29" s="5">
        <v>141</v>
      </c>
      <c r="E29" s="6" t="s">
        <v>99</v>
      </c>
      <c r="F29" s="5" t="s">
        <v>203</v>
      </c>
      <c r="G29" s="6" t="s">
        <v>202</v>
      </c>
      <c r="H29" s="5" t="str">
        <f>"000278"</f>
        <v>000278</v>
      </c>
      <c r="I29" s="4">
        <v>42646</v>
      </c>
      <c r="J29" s="5" t="str">
        <f>"000148"</f>
        <v>000148</v>
      </c>
      <c r="K29" s="4">
        <v>42724</v>
      </c>
      <c r="L29" s="5" t="str">
        <f>"000635"</f>
        <v>000635</v>
      </c>
      <c r="M29" s="4">
        <v>42734</v>
      </c>
      <c r="N29" s="5">
        <v>16</v>
      </c>
      <c r="O29" s="5" t="str">
        <f>"003540"</f>
        <v>003540</v>
      </c>
      <c r="P29" s="4">
        <v>43291</v>
      </c>
      <c r="Q29" s="7">
        <v>10</v>
      </c>
      <c r="R29" s="7">
        <v>1.5266999999999999</v>
      </c>
      <c r="S29" s="7">
        <v>8.4733000000000001</v>
      </c>
      <c r="T29" s="5">
        <v>125</v>
      </c>
      <c r="U29" s="4">
        <v>43297</v>
      </c>
      <c r="V29" s="5">
        <v>9886817582</v>
      </c>
      <c r="W29" s="6" t="s">
        <v>42</v>
      </c>
      <c r="X29" s="5" t="s">
        <v>64</v>
      </c>
      <c r="Y29" s="6" t="s">
        <v>63</v>
      </c>
      <c r="Z29" s="5" t="s">
        <v>88</v>
      </c>
      <c r="AA29" s="6" t="s">
        <v>87</v>
      </c>
      <c r="AB29" s="7">
        <v>0.1</v>
      </c>
      <c r="AD29" s="8"/>
      <c r="AF29" s="8"/>
      <c r="AG29" s="8"/>
    </row>
    <row r="30" spans="1:33" x14ac:dyDescent="0.2">
      <c r="A30" s="12">
        <v>3337</v>
      </c>
      <c r="B30" s="13" t="s">
        <v>31</v>
      </c>
      <c r="C30" s="13">
        <v>43297</v>
      </c>
      <c r="D30" s="5">
        <v>141</v>
      </c>
      <c r="E30" s="6" t="s">
        <v>99</v>
      </c>
      <c r="F30" s="5" t="s">
        <v>201</v>
      </c>
      <c r="G30" s="6" t="s">
        <v>200</v>
      </c>
      <c r="H30" s="5" t="str">
        <f>"000290"</f>
        <v>000290</v>
      </c>
      <c r="I30" s="4">
        <v>42646</v>
      </c>
      <c r="J30" s="5" t="str">
        <f>"000147"</f>
        <v>000147</v>
      </c>
      <c r="K30" s="4">
        <v>42723</v>
      </c>
      <c r="L30" s="5" t="str">
        <f>"000636"</f>
        <v>000636</v>
      </c>
      <c r="M30" s="4">
        <v>42734</v>
      </c>
      <c r="N30" s="5">
        <v>16</v>
      </c>
      <c r="O30" s="5" t="str">
        <f>"003541"</f>
        <v>003541</v>
      </c>
      <c r="P30" s="4">
        <v>43291</v>
      </c>
      <c r="Q30" s="7">
        <v>10</v>
      </c>
      <c r="R30" s="7">
        <v>1.5125999999999999</v>
      </c>
      <c r="S30" s="7">
        <v>8.4873999999999992</v>
      </c>
      <c r="T30" s="5">
        <v>125</v>
      </c>
      <c r="U30" s="4">
        <v>43297</v>
      </c>
      <c r="V30" s="5">
        <v>9886817582</v>
      </c>
      <c r="W30" s="6" t="s">
        <v>42</v>
      </c>
      <c r="X30" s="5" t="s">
        <v>64</v>
      </c>
      <c r="Y30" s="6" t="s">
        <v>63</v>
      </c>
      <c r="Z30" s="5" t="s">
        <v>88</v>
      </c>
      <c r="AA30" s="6" t="s">
        <v>87</v>
      </c>
      <c r="AB30" s="7">
        <v>0.1</v>
      </c>
      <c r="AD30" s="8"/>
      <c r="AF30" s="8"/>
      <c r="AG30" s="8"/>
    </row>
    <row r="31" spans="1:33" x14ac:dyDescent="0.2">
      <c r="A31" s="12">
        <v>3942</v>
      </c>
      <c r="B31" s="13" t="s">
        <v>31</v>
      </c>
      <c r="C31" s="13">
        <v>43305</v>
      </c>
      <c r="D31" s="5">
        <v>141</v>
      </c>
      <c r="E31" s="6" t="s">
        <v>99</v>
      </c>
      <c r="F31" s="5" t="s">
        <v>199</v>
      </c>
      <c r="G31" s="6" t="s">
        <v>198</v>
      </c>
      <c r="H31" s="5" t="str">
        <f>"000094"</f>
        <v>000094</v>
      </c>
      <c r="I31" s="4">
        <v>42704</v>
      </c>
      <c r="J31" s="5" t="str">
        <f>"000158"</f>
        <v>000158</v>
      </c>
      <c r="K31" s="4">
        <v>42763</v>
      </c>
      <c r="L31" s="5" t="str">
        <f>"000666"</f>
        <v>000666</v>
      </c>
      <c r="M31" s="4">
        <v>42763</v>
      </c>
      <c r="N31" s="5">
        <v>17</v>
      </c>
      <c r="O31" s="5" t="str">
        <f>"004132"</f>
        <v>004132</v>
      </c>
      <c r="P31" s="4">
        <v>43301</v>
      </c>
      <c r="Q31" s="7">
        <v>15.732699999999999</v>
      </c>
      <c r="R31" s="7">
        <v>2.0310800000000002</v>
      </c>
      <c r="S31" s="7">
        <v>13.70162</v>
      </c>
      <c r="T31" s="5">
        <v>139</v>
      </c>
      <c r="U31" s="4">
        <v>43305</v>
      </c>
      <c r="V31" s="5">
        <v>9916950205</v>
      </c>
      <c r="W31" s="6" t="s">
        <v>89</v>
      </c>
      <c r="X31" s="5" t="s">
        <v>64</v>
      </c>
      <c r="Y31" s="6" t="s">
        <v>63</v>
      </c>
      <c r="Z31" s="5" t="s">
        <v>88</v>
      </c>
      <c r="AA31" s="6" t="s">
        <v>87</v>
      </c>
      <c r="AB31" s="7">
        <v>0.15732699999999999</v>
      </c>
      <c r="AD31" s="8"/>
      <c r="AF31" s="8"/>
      <c r="AG31" s="8"/>
    </row>
    <row r="32" spans="1:33" x14ac:dyDescent="0.2">
      <c r="A32" s="12">
        <v>3943</v>
      </c>
      <c r="B32" s="13" t="s">
        <v>31</v>
      </c>
      <c r="C32" s="13">
        <v>43305</v>
      </c>
      <c r="D32" s="5">
        <v>141</v>
      </c>
      <c r="E32" s="6" t="s">
        <v>99</v>
      </c>
      <c r="F32" s="5" t="s">
        <v>197</v>
      </c>
      <c r="G32" s="6" t="s">
        <v>196</v>
      </c>
      <c r="H32" s="5" t="str">
        <f>"000129"</f>
        <v>000129</v>
      </c>
      <c r="I32" s="4">
        <v>42704</v>
      </c>
      <c r="J32" s="5" t="str">
        <f>"000161"</f>
        <v>000161</v>
      </c>
      <c r="K32" s="4">
        <v>42763</v>
      </c>
      <c r="L32" s="5" t="str">
        <f>"000675"</f>
        <v>000675</v>
      </c>
      <c r="M32" s="4">
        <v>42763</v>
      </c>
      <c r="N32" s="5">
        <v>17</v>
      </c>
      <c r="O32" s="5" t="str">
        <f>"004135"</f>
        <v>004135</v>
      </c>
      <c r="P32" s="4">
        <v>43301</v>
      </c>
      <c r="Q32" s="7">
        <v>20.470040000000001</v>
      </c>
      <c r="R32" s="7">
        <v>2.7334299999999998</v>
      </c>
      <c r="S32" s="7">
        <v>17.736609999999999</v>
      </c>
      <c r="T32" s="5">
        <v>139</v>
      </c>
      <c r="U32" s="4">
        <v>43305</v>
      </c>
      <c r="V32" s="5">
        <v>9916950205</v>
      </c>
      <c r="W32" s="6" t="s">
        <v>89</v>
      </c>
      <c r="X32" s="5" t="s">
        <v>64</v>
      </c>
      <c r="Y32" s="6" t="s">
        <v>63</v>
      </c>
      <c r="Z32" s="5" t="s">
        <v>88</v>
      </c>
      <c r="AA32" s="6" t="s">
        <v>87</v>
      </c>
      <c r="AB32" s="7">
        <v>0.2047004</v>
      </c>
      <c r="AD32" s="8"/>
      <c r="AF32" s="8"/>
      <c r="AG32" s="8"/>
    </row>
    <row r="33" spans="1:33" x14ac:dyDescent="0.2">
      <c r="A33" s="12">
        <v>3944</v>
      </c>
      <c r="B33" s="13" t="s">
        <v>31</v>
      </c>
      <c r="C33" s="13">
        <v>43305</v>
      </c>
      <c r="D33" s="5">
        <v>141</v>
      </c>
      <c r="E33" s="6" t="s">
        <v>99</v>
      </c>
      <c r="F33" s="5" t="s">
        <v>195</v>
      </c>
      <c r="G33" s="6" t="s">
        <v>194</v>
      </c>
      <c r="H33" s="5" t="str">
        <f>"000117"</f>
        <v>000117</v>
      </c>
      <c r="I33" s="4">
        <v>42704</v>
      </c>
      <c r="J33" s="5" t="str">
        <f>"000163"</f>
        <v>000163</v>
      </c>
      <c r="K33" s="4">
        <v>42825</v>
      </c>
      <c r="L33" s="5" t="str">
        <f>"000677"</f>
        <v>000677</v>
      </c>
      <c r="M33" s="4">
        <v>42765</v>
      </c>
      <c r="N33" s="5">
        <v>17</v>
      </c>
      <c r="O33" s="5" t="str">
        <f>"004141"</f>
        <v>004141</v>
      </c>
      <c r="P33" s="4">
        <v>43301</v>
      </c>
      <c r="Q33" s="7">
        <v>15.7271</v>
      </c>
      <c r="R33" s="7">
        <v>2.0291199999999998</v>
      </c>
      <c r="S33" s="7">
        <v>13.697979999999999</v>
      </c>
      <c r="T33" s="5">
        <v>139</v>
      </c>
      <c r="U33" s="4">
        <v>43305</v>
      </c>
      <c r="V33" s="5">
        <v>9916950205</v>
      </c>
      <c r="W33" s="6" t="s">
        <v>89</v>
      </c>
      <c r="X33" s="5" t="s">
        <v>64</v>
      </c>
      <c r="Y33" s="6" t="s">
        <v>63</v>
      </c>
      <c r="Z33" s="5" t="s">
        <v>88</v>
      </c>
      <c r="AA33" s="6" t="s">
        <v>87</v>
      </c>
      <c r="AB33" s="7">
        <v>0.15727099999999999</v>
      </c>
      <c r="AD33" s="8"/>
      <c r="AF33" s="8"/>
      <c r="AG33" s="8"/>
    </row>
    <row r="34" spans="1:33" x14ac:dyDescent="0.2">
      <c r="A34" s="12">
        <v>3945</v>
      </c>
      <c r="B34" s="13" t="s">
        <v>31</v>
      </c>
      <c r="C34" s="13">
        <v>43305</v>
      </c>
      <c r="D34" s="5">
        <v>141</v>
      </c>
      <c r="E34" s="6" t="s">
        <v>99</v>
      </c>
      <c r="F34" s="5" t="s">
        <v>193</v>
      </c>
      <c r="G34" s="6" t="s">
        <v>192</v>
      </c>
      <c r="H34" s="5" t="str">
        <f>"000142"</f>
        <v>000142</v>
      </c>
      <c r="I34" s="4">
        <v>42704</v>
      </c>
      <c r="J34" s="5" t="str">
        <f>"000164"</f>
        <v>000164</v>
      </c>
      <c r="K34" s="4">
        <v>42765</v>
      </c>
      <c r="L34" s="5" t="str">
        <f>"000678"</f>
        <v>000678</v>
      </c>
      <c r="M34" s="4">
        <v>42765</v>
      </c>
      <c r="N34" s="5">
        <v>17</v>
      </c>
      <c r="O34" s="5" t="str">
        <f>"004142"</f>
        <v>004142</v>
      </c>
      <c r="P34" s="4">
        <v>43301</v>
      </c>
      <c r="Q34" s="7">
        <v>20.446280000000002</v>
      </c>
      <c r="R34" s="7">
        <v>2.7197800000000001</v>
      </c>
      <c r="S34" s="7">
        <v>17.726500000000001</v>
      </c>
      <c r="T34" s="5">
        <v>139</v>
      </c>
      <c r="U34" s="4">
        <v>43305</v>
      </c>
      <c r="V34" s="5">
        <v>9916950205</v>
      </c>
      <c r="W34" s="6" t="s">
        <v>89</v>
      </c>
      <c r="X34" s="5" t="s">
        <v>64</v>
      </c>
      <c r="Y34" s="6" t="s">
        <v>63</v>
      </c>
      <c r="Z34" s="5" t="s">
        <v>88</v>
      </c>
      <c r="AA34" s="6" t="s">
        <v>87</v>
      </c>
      <c r="AB34" s="7">
        <v>0.20446280000000003</v>
      </c>
      <c r="AD34" s="8"/>
      <c r="AF34" s="8"/>
      <c r="AG34" s="8"/>
    </row>
    <row r="35" spans="1:33" x14ac:dyDescent="0.2">
      <c r="A35" s="12">
        <v>4315</v>
      </c>
      <c r="B35" s="13" t="s">
        <v>28</v>
      </c>
      <c r="C35" s="13">
        <v>43315</v>
      </c>
      <c r="D35" s="5">
        <v>141</v>
      </c>
      <c r="E35" s="6" t="s">
        <v>99</v>
      </c>
      <c r="F35" s="5" t="s">
        <v>191</v>
      </c>
      <c r="G35" s="6" t="s">
        <v>190</v>
      </c>
      <c r="H35" s="5" t="str">
        <f>"000139"</f>
        <v>000139</v>
      </c>
      <c r="I35" s="4">
        <v>42704</v>
      </c>
      <c r="J35" s="5" t="str">
        <f>"000165"</f>
        <v>000165</v>
      </c>
      <c r="K35" s="4">
        <v>42763</v>
      </c>
      <c r="L35" s="5" t="str">
        <f>"000679"</f>
        <v>000679</v>
      </c>
      <c r="M35" s="4">
        <v>42765</v>
      </c>
      <c r="N35" s="5">
        <v>17</v>
      </c>
      <c r="O35" s="5" t="str">
        <f>"004493"</f>
        <v>004493</v>
      </c>
      <c r="P35" s="4">
        <v>43308</v>
      </c>
      <c r="Q35" s="7">
        <v>15.699350000000001</v>
      </c>
      <c r="R35" s="7">
        <v>2.0250300000000001</v>
      </c>
      <c r="S35" s="7">
        <v>13.67432</v>
      </c>
      <c r="T35" s="5">
        <v>152</v>
      </c>
      <c r="U35" s="4">
        <v>43315</v>
      </c>
      <c r="V35" s="5">
        <v>9916950205</v>
      </c>
      <c r="W35" s="6" t="s">
        <v>89</v>
      </c>
      <c r="X35" s="5" t="s">
        <v>64</v>
      </c>
      <c r="Y35" s="6" t="s">
        <v>63</v>
      </c>
      <c r="Z35" s="5" t="s">
        <v>88</v>
      </c>
      <c r="AA35" s="6" t="s">
        <v>87</v>
      </c>
      <c r="AB35" s="7">
        <v>0.15699350000000001</v>
      </c>
      <c r="AD35" s="8"/>
      <c r="AF35" s="8"/>
      <c r="AG35" s="8"/>
    </row>
    <row r="36" spans="1:33" x14ac:dyDescent="0.2">
      <c r="A36" s="12">
        <v>4347</v>
      </c>
      <c r="B36" s="13" t="s">
        <v>28</v>
      </c>
      <c r="C36" s="13">
        <v>43316</v>
      </c>
      <c r="D36" s="5">
        <v>141</v>
      </c>
      <c r="E36" s="6" t="s">
        <v>99</v>
      </c>
      <c r="F36" s="5" t="s">
        <v>189</v>
      </c>
      <c r="G36" s="6" t="s">
        <v>188</v>
      </c>
      <c r="H36" s="5" t="str">
        <f>"000144"</f>
        <v>000144</v>
      </c>
      <c r="I36" s="4">
        <v>43281</v>
      </c>
      <c r="J36" s="5" t="str">
        <f>"000071"</f>
        <v>000071</v>
      </c>
      <c r="K36" s="4">
        <v>43281</v>
      </c>
      <c r="L36" s="5" t="str">
        <f>"000138"</f>
        <v>000138</v>
      </c>
      <c r="M36" s="4">
        <v>43281</v>
      </c>
      <c r="N36" s="5">
        <v>17</v>
      </c>
      <c r="O36" s="5" t="str">
        <f>"004734"</f>
        <v>004734</v>
      </c>
      <c r="P36" s="4">
        <v>43314</v>
      </c>
      <c r="Q36" s="7">
        <v>19.760380000000001</v>
      </c>
      <c r="R36" s="7">
        <v>1.93394</v>
      </c>
      <c r="S36" s="7">
        <v>17.826440000000002</v>
      </c>
      <c r="T36" s="5">
        <v>155</v>
      </c>
      <c r="U36" s="4">
        <v>43316</v>
      </c>
      <c r="V36" s="5">
        <v>9945374917</v>
      </c>
      <c r="W36" s="6" t="s">
        <v>42</v>
      </c>
      <c r="X36" s="5" t="s">
        <v>41</v>
      </c>
      <c r="Y36" s="6" t="s">
        <v>40</v>
      </c>
      <c r="Z36" s="5" t="s">
        <v>88</v>
      </c>
      <c r="AA36" s="6" t="s">
        <v>87</v>
      </c>
      <c r="AB36" s="7">
        <v>0.19760380000000002</v>
      </c>
      <c r="AD36" s="8"/>
      <c r="AF36" s="8"/>
      <c r="AG36" s="8"/>
    </row>
    <row r="37" spans="1:33" x14ac:dyDescent="0.2">
      <c r="A37" s="12">
        <v>4553</v>
      </c>
      <c r="B37" s="13" t="s">
        <v>28</v>
      </c>
      <c r="C37" s="13">
        <v>43318</v>
      </c>
      <c r="D37" s="5">
        <v>141</v>
      </c>
      <c r="E37" s="6" t="s">
        <v>99</v>
      </c>
      <c r="F37" s="5" t="s">
        <v>187</v>
      </c>
      <c r="G37" s="6" t="s">
        <v>186</v>
      </c>
      <c r="H37" s="5" t="str">
        <f>"000016"</f>
        <v>000016</v>
      </c>
      <c r="I37" s="4">
        <v>42616</v>
      </c>
      <c r="J37" s="5" t="str">
        <f>"000005"</f>
        <v>000005</v>
      </c>
      <c r="K37" s="4">
        <v>42825</v>
      </c>
      <c r="L37" s="5" t="str">
        <f>"000045"</f>
        <v>000045</v>
      </c>
      <c r="M37" s="4">
        <v>42891</v>
      </c>
      <c r="N37" s="5">
        <v>16</v>
      </c>
      <c r="O37" s="5" t="str">
        <f>"004612"</f>
        <v>004612</v>
      </c>
      <c r="P37" s="4">
        <v>43313</v>
      </c>
      <c r="Q37" s="7">
        <v>39.50376</v>
      </c>
      <c r="R37" s="7">
        <v>4.81996</v>
      </c>
      <c r="S37" s="7">
        <v>34.683799999999998</v>
      </c>
      <c r="T37" s="5">
        <v>158</v>
      </c>
      <c r="U37" s="4">
        <v>43318</v>
      </c>
      <c r="V37" s="5">
        <v>9980554494</v>
      </c>
      <c r="W37" s="6" t="s">
        <v>69</v>
      </c>
      <c r="X37" s="5" t="s">
        <v>71</v>
      </c>
      <c r="Y37" s="6" t="s">
        <v>70</v>
      </c>
      <c r="Z37" s="5" t="s">
        <v>68</v>
      </c>
      <c r="AA37" s="6" t="s">
        <v>67</v>
      </c>
      <c r="AB37" s="7">
        <v>0.39503759999999999</v>
      </c>
      <c r="AD37" s="8"/>
      <c r="AF37" s="8"/>
      <c r="AG37" s="8"/>
    </row>
    <row r="38" spans="1:33" x14ac:dyDescent="0.2">
      <c r="A38" s="12">
        <v>4554</v>
      </c>
      <c r="B38" s="13" t="s">
        <v>28</v>
      </c>
      <c r="C38" s="13">
        <v>43318</v>
      </c>
      <c r="D38" s="5">
        <v>141</v>
      </c>
      <c r="E38" s="6" t="s">
        <v>99</v>
      </c>
      <c r="F38" s="5" t="s">
        <v>185</v>
      </c>
      <c r="G38" s="6" t="s">
        <v>184</v>
      </c>
      <c r="H38" s="5" t="str">
        <f>"000015"</f>
        <v>000015</v>
      </c>
      <c r="I38" s="4">
        <v>42616</v>
      </c>
      <c r="J38" s="5" t="str">
        <f>"000004"</f>
        <v>000004</v>
      </c>
      <c r="K38" s="4">
        <v>42825</v>
      </c>
      <c r="L38" s="5" t="str">
        <f>"000046"</f>
        <v>000046</v>
      </c>
      <c r="M38" s="4">
        <v>42891</v>
      </c>
      <c r="N38" s="5">
        <v>16</v>
      </c>
      <c r="O38" s="5" t="str">
        <f>"004613"</f>
        <v>004613</v>
      </c>
      <c r="P38" s="4">
        <v>43313</v>
      </c>
      <c r="Q38" s="7">
        <v>9.9991199999999996</v>
      </c>
      <c r="R38" s="7">
        <v>1.22488</v>
      </c>
      <c r="S38" s="7">
        <v>8.7742400000000007</v>
      </c>
      <c r="T38" s="5">
        <v>158</v>
      </c>
      <c r="U38" s="4">
        <v>43318</v>
      </c>
      <c r="V38" s="5">
        <v>9980554494</v>
      </c>
      <c r="W38" s="6" t="s">
        <v>69</v>
      </c>
      <c r="X38" s="5" t="s">
        <v>71</v>
      </c>
      <c r="Y38" s="6" t="s">
        <v>70</v>
      </c>
      <c r="Z38" s="5" t="s">
        <v>68</v>
      </c>
      <c r="AA38" s="6" t="s">
        <v>67</v>
      </c>
      <c r="AB38" s="7">
        <v>9.9991200000000002E-2</v>
      </c>
      <c r="AD38" s="8"/>
      <c r="AF38" s="8"/>
      <c r="AG38" s="8"/>
    </row>
    <row r="39" spans="1:33" x14ac:dyDescent="0.2">
      <c r="A39" s="12">
        <v>4555</v>
      </c>
      <c r="B39" s="13" t="s">
        <v>28</v>
      </c>
      <c r="C39" s="13">
        <v>43318</v>
      </c>
      <c r="D39" s="5">
        <v>141</v>
      </c>
      <c r="E39" s="6" t="s">
        <v>99</v>
      </c>
      <c r="F39" s="5" t="s">
        <v>183</v>
      </c>
      <c r="G39" s="6" t="s">
        <v>182</v>
      </c>
      <c r="H39" s="5" t="str">
        <f>"000199"</f>
        <v>000199</v>
      </c>
      <c r="I39" s="4">
        <v>42704</v>
      </c>
      <c r="J39" s="5" t="str">
        <f>"000167"</f>
        <v>000167</v>
      </c>
      <c r="K39" s="4">
        <v>42763</v>
      </c>
      <c r="L39" s="5" t="str">
        <f>"000662"</f>
        <v>000662</v>
      </c>
      <c r="M39" s="4">
        <v>42763</v>
      </c>
      <c r="N39" s="5">
        <v>17</v>
      </c>
      <c r="O39" s="5" t="str">
        <f>"004619"</f>
        <v>004619</v>
      </c>
      <c r="P39" s="4">
        <v>43313</v>
      </c>
      <c r="Q39" s="7">
        <v>11.21733</v>
      </c>
      <c r="R39" s="7">
        <v>1.4370700000000001</v>
      </c>
      <c r="S39" s="7">
        <v>9.7802600000000002</v>
      </c>
      <c r="T39" s="5">
        <v>159</v>
      </c>
      <c r="U39" s="4">
        <v>43318</v>
      </c>
      <c r="V39" s="5">
        <v>9916950205</v>
      </c>
      <c r="W39" s="6" t="s">
        <v>91</v>
      </c>
      <c r="X39" s="5" t="s">
        <v>64</v>
      </c>
      <c r="Y39" s="6" t="s">
        <v>63</v>
      </c>
      <c r="Z39" s="5" t="s">
        <v>88</v>
      </c>
      <c r="AA39" s="6" t="s">
        <v>87</v>
      </c>
      <c r="AB39" s="7">
        <v>0.1121733</v>
      </c>
      <c r="AD39" s="8"/>
      <c r="AF39" s="8"/>
      <c r="AG39" s="8"/>
    </row>
    <row r="40" spans="1:33" x14ac:dyDescent="0.2">
      <c r="A40" s="12">
        <v>4556</v>
      </c>
      <c r="B40" s="13" t="s">
        <v>28</v>
      </c>
      <c r="C40" s="13">
        <v>43318</v>
      </c>
      <c r="D40" s="5">
        <v>141</v>
      </c>
      <c r="E40" s="6" t="s">
        <v>99</v>
      </c>
      <c r="F40" s="5" t="s">
        <v>181</v>
      </c>
      <c r="G40" s="6" t="s">
        <v>180</v>
      </c>
      <c r="H40" s="5" t="str">
        <f>"000108"</f>
        <v>000108</v>
      </c>
      <c r="I40" s="4">
        <v>42704</v>
      </c>
      <c r="J40" s="5" t="str">
        <f>"000160"</f>
        <v>000160</v>
      </c>
      <c r="K40" s="4">
        <v>42763</v>
      </c>
      <c r="L40" s="5" t="str">
        <f>"000668"</f>
        <v>000668</v>
      </c>
      <c r="M40" s="4">
        <v>42763</v>
      </c>
      <c r="N40" s="5">
        <v>17</v>
      </c>
      <c r="O40" s="5" t="str">
        <f>"004620"</f>
        <v>004620</v>
      </c>
      <c r="P40" s="4">
        <v>43313</v>
      </c>
      <c r="Q40" s="7">
        <v>20.441859999999998</v>
      </c>
      <c r="R40" s="7">
        <v>2.72946</v>
      </c>
      <c r="S40" s="7">
        <v>17.712399999999999</v>
      </c>
      <c r="T40" s="5">
        <v>159</v>
      </c>
      <c r="U40" s="4">
        <v>43318</v>
      </c>
      <c r="V40" s="5">
        <v>9916950205</v>
      </c>
      <c r="W40" s="6" t="s">
        <v>89</v>
      </c>
      <c r="X40" s="5" t="s">
        <v>64</v>
      </c>
      <c r="Y40" s="6" t="s">
        <v>63</v>
      </c>
      <c r="Z40" s="5" t="s">
        <v>88</v>
      </c>
      <c r="AA40" s="6" t="s">
        <v>87</v>
      </c>
      <c r="AB40" s="7">
        <v>0.20441859999999998</v>
      </c>
      <c r="AD40" s="8"/>
      <c r="AF40" s="8"/>
      <c r="AG40" s="8"/>
    </row>
    <row r="41" spans="1:33" x14ac:dyDescent="0.2">
      <c r="A41" s="12">
        <v>4557</v>
      </c>
      <c r="B41" s="13" t="s">
        <v>28</v>
      </c>
      <c r="C41" s="13">
        <v>43318</v>
      </c>
      <c r="D41" s="5">
        <v>141</v>
      </c>
      <c r="E41" s="6" t="s">
        <v>99</v>
      </c>
      <c r="F41" s="5" t="s">
        <v>179</v>
      </c>
      <c r="G41" s="6" t="s">
        <v>178</v>
      </c>
      <c r="H41" s="5" t="str">
        <f>"000114"</f>
        <v>000114</v>
      </c>
      <c r="I41" s="4">
        <v>42704</v>
      </c>
      <c r="J41" s="5" t="str">
        <f>"000162"</f>
        <v>000162</v>
      </c>
      <c r="K41" s="4">
        <v>42763</v>
      </c>
      <c r="L41" s="5" t="str">
        <f>"000676"</f>
        <v>000676</v>
      </c>
      <c r="M41" s="4">
        <v>42765</v>
      </c>
      <c r="N41" s="5">
        <v>17</v>
      </c>
      <c r="O41" s="5" t="str">
        <f>"004622"</f>
        <v>004622</v>
      </c>
      <c r="P41" s="4">
        <v>43313</v>
      </c>
      <c r="Q41" s="7">
        <v>20.44782</v>
      </c>
      <c r="R41" s="7">
        <v>2.7242299999999999</v>
      </c>
      <c r="S41" s="7">
        <v>17.723590000000002</v>
      </c>
      <c r="T41" s="5">
        <v>159</v>
      </c>
      <c r="U41" s="4">
        <v>43318</v>
      </c>
      <c r="V41" s="5">
        <v>9916950205</v>
      </c>
      <c r="W41" s="6" t="s">
        <v>89</v>
      </c>
      <c r="X41" s="5" t="s">
        <v>64</v>
      </c>
      <c r="Y41" s="6" t="s">
        <v>63</v>
      </c>
      <c r="Z41" s="5" t="s">
        <v>88</v>
      </c>
      <c r="AA41" s="6" t="s">
        <v>87</v>
      </c>
      <c r="AB41" s="7">
        <v>0.2044782</v>
      </c>
      <c r="AD41" s="8"/>
      <c r="AF41" s="8"/>
      <c r="AG41" s="8"/>
    </row>
    <row r="42" spans="1:33" x14ac:dyDescent="0.2">
      <c r="A42" s="12">
        <v>5315</v>
      </c>
      <c r="B42" s="13" t="s">
        <v>33</v>
      </c>
      <c r="C42" s="13">
        <v>43346</v>
      </c>
      <c r="D42" s="5">
        <v>141</v>
      </c>
      <c r="E42" s="6" t="s">
        <v>99</v>
      </c>
      <c r="F42" s="5" t="s">
        <v>177</v>
      </c>
      <c r="G42" s="6" t="s">
        <v>176</v>
      </c>
      <c r="H42" s="5" t="str">
        <f>"000144"</f>
        <v>000144</v>
      </c>
      <c r="I42" s="4">
        <v>42768</v>
      </c>
      <c r="J42" s="5" t="str">
        <f>"000152"</f>
        <v>000152</v>
      </c>
      <c r="K42" s="4">
        <v>42825</v>
      </c>
      <c r="L42" s="5" t="str">
        <f>"000740"</f>
        <v>000740</v>
      </c>
      <c r="M42" s="4">
        <v>42825</v>
      </c>
      <c r="N42" s="5">
        <v>17</v>
      </c>
      <c r="O42" s="5" t="str">
        <f>"005318"</f>
        <v>005318</v>
      </c>
      <c r="P42" s="4">
        <v>43333</v>
      </c>
      <c r="Q42" s="7">
        <v>19.912510000000001</v>
      </c>
      <c r="R42" s="7">
        <v>2.99065</v>
      </c>
      <c r="S42" s="7">
        <v>16.921859999999999</v>
      </c>
      <c r="T42" s="5">
        <v>193</v>
      </c>
      <c r="U42" s="4">
        <v>43346</v>
      </c>
      <c r="V42" s="5">
        <v>9886817582</v>
      </c>
      <c r="W42" s="6" t="s">
        <v>84</v>
      </c>
      <c r="X42" s="5" t="s">
        <v>47</v>
      </c>
      <c r="Y42" s="6" t="s">
        <v>46</v>
      </c>
      <c r="Z42" s="5" t="s">
        <v>88</v>
      </c>
      <c r="AA42" s="6" t="s">
        <v>87</v>
      </c>
      <c r="AB42" s="7">
        <f>Q42/100</f>
        <v>0.1991251</v>
      </c>
      <c r="AD42" s="8"/>
      <c r="AF42" s="8"/>
      <c r="AG42" s="8"/>
    </row>
    <row r="43" spans="1:33" x14ac:dyDescent="0.2">
      <c r="A43" s="12">
        <v>5489</v>
      </c>
      <c r="B43" s="13" t="s">
        <v>33</v>
      </c>
      <c r="C43" s="13">
        <v>43357</v>
      </c>
      <c r="D43" s="5">
        <v>141</v>
      </c>
      <c r="E43" s="6" t="s">
        <v>99</v>
      </c>
      <c r="F43" s="5" t="s">
        <v>175</v>
      </c>
      <c r="G43" s="6" t="s">
        <v>174</v>
      </c>
      <c r="H43" s="5" t="str">
        <f>"000110"</f>
        <v>000110</v>
      </c>
      <c r="I43" s="4">
        <v>42908</v>
      </c>
      <c r="J43" s="5" t="str">
        <f>"000024"</f>
        <v>000024</v>
      </c>
      <c r="K43" s="4">
        <v>42977</v>
      </c>
      <c r="L43" s="5" t="str">
        <f>"000019"</f>
        <v>000019</v>
      </c>
      <c r="M43" s="4">
        <v>42977</v>
      </c>
      <c r="N43" s="5">
        <v>16</v>
      </c>
      <c r="O43" s="5" t="str">
        <f>"005740"</f>
        <v>005740</v>
      </c>
      <c r="P43" s="4">
        <v>43354</v>
      </c>
      <c r="Q43" s="7">
        <v>19.63176</v>
      </c>
      <c r="R43" s="7">
        <v>2.5819000000000001</v>
      </c>
      <c r="S43" s="7">
        <v>17.049859999999999</v>
      </c>
      <c r="T43" s="5">
        <v>203</v>
      </c>
      <c r="U43" s="4">
        <v>43357</v>
      </c>
      <c r="V43" s="5">
        <v>9900333498</v>
      </c>
      <c r="W43" s="6" t="s">
        <v>72</v>
      </c>
      <c r="X43" s="5" t="s">
        <v>47</v>
      </c>
      <c r="Y43" s="6" t="s">
        <v>46</v>
      </c>
      <c r="Z43" s="5" t="s">
        <v>39</v>
      </c>
      <c r="AA43" s="6" t="s">
        <v>38</v>
      </c>
      <c r="AB43" s="7">
        <f>Q43/100</f>
        <v>0.19631760000000001</v>
      </c>
      <c r="AD43" s="8"/>
      <c r="AF43" s="8"/>
      <c r="AG43" s="8"/>
    </row>
    <row r="44" spans="1:33" x14ac:dyDescent="0.2">
      <c r="A44" s="12">
        <v>6214</v>
      </c>
      <c r="B44" s="13" t="s">
        <v>37</v>
      </c>
      <c r="C44" s="13">
        <v>43385</v>
      </c>
      <c r="D44" s="5">
        <v>141</v>
      </c>
      <c r="E44" s="6" t="s">
        <v>99</v>
      </c>
      <c r="F44" s="5" t="s">
        <v>173</v>
      </c>
      <c r="G44" s="6" t="s">
        <v>172</v>
      </c>
      <c r="H44" s="5" t="str">
        <f>"100194"</f>
        <v>100194</v>
      </c>
      <c r="I44" s="4">
        <v>42802</v>
      </c>
      <c r="J44" s="5" t="str">
        <f>"000158"</f>
        <v>000158</v>
      </c>
      <c r="K44" s="4">
        <v>42853</v>
      </c>
      <c r="L44" s="5" t="str">
        <f>"000021"</f>
        <v>000021</v>
      </c>
      <c r="M44" s="4">
        <v>42853</v>
      </c>
      <c r="N44" s="5">
        <v>17</v>
      </c>
      <c r="O44" s="5" t="str">
        <f>"006010"</f>
        <v>006010</v>
      </c>
      <c r="P44" s="4">
        <v>43374</v>
      </c>
      <c r="Q44" s="7">
        <v>5.24</v>
      </c>
      <c r="R44" s="7">
        <v>0.64451999999999998</v>
      </c>
      <c r="S44" s="7">
        <v>4.5954800000000002</v>
      </c>
      <c r="T44" s="5">
        <v>230</v>
      </c>
      <c r="U44" s="4">
        <v>43385</v>
      </c>
      <c r="V44" s="5">
        <v>9916950205</v>
      </c>
      <c r="W44" s="6" t="s">
        <v>90</v>
      </c>
      <c r="X44" s="5" t="s">
        <v>29</v>
      </c>
      <c r="Y44" s="6" t="s">
        <v>30</v>
      </c>
      <c r="Z44" s="5" t="s">
        <v>88</v>
      </c>
      <c r="AA44" s="6" t="s">
        <v>87</v>
      </c>
      <c r="AB44" s="7">
        <f>Q44/100</f>
        <v>5.2400000000000002E-2</v>
      </c>
      <c r="AD44" s="8"/>
      <c r="AF44" s="8"/>
      <c r="AG44" s="8"/>
    </row>
    <row r="45" spans="1:33" x14ac:dyDescent="0.2">
      <c r="A45" s="12">
        <v>6215</v>
      </c>
      <c r="B45" s="13" t="s">
        <v>37</v>
      </c>
      <c r="C45" s="13">
        <v>43385</v>
      </c>
      <c r="D45" s="5">
        <v>141</v>
      </c>
      <c r="E45" s="6" t="s">
        <v>99</v>
      </c>
      <c r="F45" s="5" t="s">
        <v>171</v>
      </c>
      <c r="G45" s="6" t="s">
        <v>170</v>
      </c>
      <c r="H45" s="5" t="str">
        <f>"100184"</f>
        <v>100184</v>
      </c>
      <c r="I45" s="4">
        <v>42802</v>
      </c>
      <c r="J45" s="5" t="str">
        <f>"000152"</f>
        <v>000152</v>
      </c>
      <c r="K45" s="4">
        <v>42853</v>
      </c>
      <c r="L45" s="5" t="str">
        <f>"000023"</f>
        <v>000023</v>
      </c>
      <c r="M45" s="4">
        <v>42853</v>
      </c>
      <c r="N45" s="5">
        <v>17</v>
      </c>
      <c r="O45" s="5" t="str">
        <f>"006013"</f>
        <v>006013</v>
      </c>
      <c r="P45" s="4">
        <v>43374</v>
      </c>
      <c r="Q45" s="7">
        <v>5.21</v>
      </c>
      <c r="R45" s="7">
        <v>0.64083000000000001</v>
      </c>
      <c r="S45" s="7">
        <v>4.5691699999999997</v>
      </c>
      <c r="T45" s="5">
        <v>230</v>
      </c>
      <c r="U45" s="4">
        <v>43385</v>
      </c>
      <c r="V45" s="5">
        <v>9916950205</v>
      </c>
      <c r="W45" s="6" t="s">
        <v>90</v>
      </c>
      <c r="X45" s="5" t="s">
        <v>29</v>
      </c>
      <c r="Y45" s="6" t="s">
        <v>30</v>
      </c>
      <c r="Z45" s="5" t="s">
        <v>88</v>
      </c>
      <c r="AA45" s="6" t="s">
        <v>87</v>
      </c>
      <c r="AB45" s="7">
        <f>Q45/100</f>
        <v>5.21E-2</v>
      </c>
      <c r="AD45" s="8"/>
      <c r="AF45" s="8"/>
      <c r="AG45" s="8"/>
    </row>
    <row r="46" spans="1:33" x14ac:dyDescent="0.2">
      <c r="A46" s="12">
        <v>6216</v>
      </c>
      <c r="B46" s="13" t="s">
        <v>37</v>
      </c>
      <c r="C46" s="13">
        <v>43385</v>
      </c>
      <c r="D46" s="5">
        <v>141</v>
      </c>
      <c r="E46" s="6" t="s">
        <v>99</v>
      </c>
      <c r="F46" s="5" t="s">
        <v>169</v>
      </c>
      <c r="G46" s="6" t="s">
        <v>168</v>
      </c>
      <c r="H46" s="5" t="str">
        <f>"100187"</f>
        <v>100187</v>
      </c>
      <c r="I46" s="4">
        <v>42802</v>
      </c>
      <c r="J46" s="5" t="str">
        <f>"000155"</f>
        <v>000155</v>
      </c>
      <c r="K46" s="4">
        <v>42853</v>
      </c>
      <c r="L46" s="5" t="str">
        <f>"000028"</f>
        <v>000028</v>
      </c>
      <c r="M46" s="4">
        <v>42853</v>
      </c>
      <c r="N46" s="5">
        <v>17</v>
      </c>
      <c r="O46" s="5" t="str">
        <f>"006014"</f>
        <v>006014</v>
      </c>
      <c r="P46" s="4">
        <v>43374</v>
      </c>
      <c r="Q46" s="7">
        <v>10.4</v>
      </c>
      <c r="R46" s="7">
        <v>1.3311999999999999</v>
      </c>
      <c r="S46" s="7">
        <v>9.0687999999999995</v>
      </c>
      <c r="T46" s="5">
        <v>230</v>
      </c>
      <c r="U46" s="4">
        <v>43385</v>
      </c>
      <c r="V46" s="5">
        <v>9916950205</v>
      </c>
      <c r="W46" s="6" t="s">
        <v>90</v>
      </c>
      <c r="X46" s="5" t="s">
        <v>29</v>
      </c>
      <c r="Y46" s="6" t="s">
        <v>30</v>
      </c>
      <c r="Z46" s="5" t="s">
        <v>88</v>
      </c>
      <c r="AA46" s="6" t="s">
        <v>87</v>
      </c>
      <c r="AB46" s="7">
        <f>Q46/100</f>
        <v>0.10400000000000001</v>
      </c>
      <c r="AD46" s="8"/>
      <c r="AF46" s="8"/>
      <c r="AG46" s="8"/>
    </row>
    <row r="47" spans="1:33" x14ac:dyDescent="0.2">
      <c r="A47" s="12">
        <v>6217</v>
      </c>
      <c r="B47" s="13" t="s">
        <v>37</v>
      </c>
      <c r="C47" s="13">
        <v>43385</v>
      </c>
      <c r="D47" s="5">
        <v>141</v>
      </c>
      <c r="E47" s="6" t="s">
        <v>99</v>
      </c>
      <c r="F47" s="5" t="s">
        <v>167</v>
      </c>
      <c r="G47" s="6" t="s">
        <v>166</v>
      </c>
      <c r="H47" s="5" t="str">
        <f>"100190"</f>
        <v>100190</v>
      </c>
      <c r="I47" s="4">
        <v>42812</v>
      </c>
      <c r="J47" s="5" t="str">
        <f>"000154"</f>
        <v>000154</v>
      </c>
      <c r="K47" s="4">
        <v>42853</v>
      </c>
      <c r="L47" s="5" t="str">
        <f>"000030"</f>
        <v>000030</v>
      </c>
      <c r="M47" s="4">
        <v>42853</v>
      </c>
      <c r="N47" s="5">
        <v>17</v>
      </c>
      <c r="O47" s="5" t="str">
        <f>"006029"</f>
        <v>006029</v>
      </c>
      <c r="P47" s="4">
        <v>43374</v>
      </c>
      <c r="Q47" s="7">
        <v>15.711539999999999</v>
      </c>
      <c r="R47" s="7">
        <v>2.0110800000000002</v>
      </c>
      <c r="S47" s="7">
        <v>13.70046</v>
      </c>
      <c r="T47" s="5">
        <v>230</v>
      </c>
      <c r="U47" s="4">
        <v>43385</v>
      </c>
      <c r="V47" s="5">
        <v>9916950205</v>
      </c>
      <c r="W47" s="6" t="s">
        <v>90</v>
      </c>
      <c r="X47" s="5" t="s">
        <v>29</v>
      </c>
      <c r="Y47" s="6" t="s">
        <v>30</v>
      </c>
      <c r="Z47" s="5" t="s">
        <v>88</v>
      </c>
      <c r="AA47" s="6" t="s">
        <v>87</v>
      </c>
      <c r="AB47" s="7">
        <f>Q47/100</f>
        <v>0.15711539999999999</v>
      </c>
      <c r="AD47" s="8"/>
      <c r="AF47" s="8"/>
      <c r="AG47" s="8"/>
    </row>
    <row r="48" spans="1:33" x14ac:dyDescent="0.2">
      <c r="A48" s="12">
        <v>6596</v>
      </c>
      <c r="B48" s="13" t="s">
        <v>37</v>
      </c>
      <c r="C48" s="13">
        <v>43389</v>
      </c>
      <c r="D48" s="5">
        <v>141</v>
      </c>
      <c r="E48" s="6" t="s">
        <v>99</v>
      </c>
      <c r="F48" s="5" t="s">
        <v>165</v>
      </c>
      <c r="G48" s="6" t="s">
        <v>164</v>
      </c>
      <c r="H48" s="5" t="str">
        <f>"000104"</f>
        <v>000104</v>
      </c>
      <c r="I48" s="4">
        <v>43117</v>
      </c>
      <c r="J48" s="5" t="str">
        <f>"000049"</f>
        <v>000049</v>
      </c>
      <c r="K48" s="4">
        <v>43117</v>
      </c>
      <c r="L48" s="5" t="str">
        <f>"000094"</f>
        <v>000094</v>
      </c>
      <c r="M48" s="4">
        <v>43117</v>
      </c>
      <c r="N48" s="5">
        <v>17</v>
      </c>
      <c r="O48" s="5" t="str">
        <f>"006472"</f>
        <v>006472</v>
      </c>
      <c r="P48" s="4">
        <v>43383</v>
      </c>
      <c r="Q48" s="7">
        <v>4.5413899999999998</v>
      </c>
      <c r="R48" s="7">
        <v>0.46775</v>
      </c>
      <c r="S48" s="7">
        <v>4.0736400000000001</v>
      </c>
      <c r="T48" s="5">
        <v>241</v>
      </c>
      <c r="U48" s="4">
        <v>43389</v>
      </c>
      <c r="V48" s="5">
        <v>9916950205</v>
      </c>
      <c r="W48" s="6" t="s">
        <v>89</v>
      </c>
      <c r="X48" s="5" t="s">
        <v>129</v>
      </c>
      <c r="Y48" s="6" t="s">
        <v>128</v>
      </c>
      <c r="Z48" s="5" t="s">
        <v>88</v>
      </c>
      <c r="AA48" s="6" t="s">
        <v>87</v>
      </c>
      <c r="AB48" s="7">
        <f>Q48/100</f>
        <v>4.54139E-2</v>
      </c>
      <c r="AD48" s="8"/>
      <c r="AF48" s="8"/>
      <c r="AG48" s="8"/>
    </row>
    <row r="49" spans="1:33" x14ac:dyDescent="0.2">
      <c r="A49" s="12">
        <v>6597</v>
      </c>
      <c r="B49" s="13" t="s">
        <v>37</v>
      </c>
      <c r="C49" s="13">
        <v>43389</v>
      </c>
      <c r="D49" s="5">
        <v>141</v>
      </c>
      <c r="E49" s="6" t="s">
        <v>99</v>
      </c>
      <c r="F49" s="5" t="s">
        <v>163</v>
      </c>
      <c r="G49" s="6" t="s">
        <v>162</v>
      </c>
      <c r="H49" s="5" t="str">
        <f>"000112"</f>
        <v>000112</v>
      </c>
      <c r="I49" s="4">
        <v>43117</v>
      </c>
      <c r="J49" s="5" t="str">
        <f>"000053"</f>
        <v>000053</v>
      </c>
      <c r="K49" s="4">
        <v>43117</v>
      </c>
      <c r="L49" s="5" t="str">
        <f>"000100"</f>
        <v>000100</v>
      </c>
      <c r="M49" s="4">
        <v>43117</v>
      </c>
      <c r="N49" s="5">
        <v>17</v>
      </c>
      <c r="O49" s="5" t="str">
        <f>"006473"</f>
        <v>006473</v>
      </c>
      <c r="P49" s="4">
        <v>43383</v>
      </c>
      <c r="Q49" s="7">
        <v>10.486420000000001</v>
      </c>
      <c r="R49" s="7">
        <v>1.13252</v>
      </c>
      <c r="S49" s="7">
        <v>9.3538999999999994</v>
      </c>
      <c r="T49" s="5">
        <v>241</v>
      </c>
      <c r="U49" s="4">
        <v>43389</v>
      </c>
      <c r="V49" s="5">
        <v>9916950205</v>
      </c>
      <c r="W49" s="6" t="s">
        <v>130</v>
      </c>
      <c r="X49" s="5" t="s">
        <v>129</v>
      </c>
      <c r="Y49" s="6" t="s">
        <v>128</v>
      </c>
      <c r="Z49" s="5" t="s">
        <v>88</v>
      </c>
      <c r="AA49" s="6" t="s">
        <v>87</v>
      </c>
      <c r="AB49" s="7">
        <f>Q49/100</f>
        <v>0.1048642</v>
      </c>
      <c r="AD49" s="8"/>
      <c r="AF49" s="8"/>
      <c r="AG49" s="8"/>
    </row>
    <row r="50" spans="1:33" x14ac:dyDescent="0.2">
      <c r="A50" s="12">
        <v>6598</v>
      </c>
      <c r="B50" s="13" t="s">
        <v>37</v>
      </c>
      <c r="C50" s="13">
        <v>43389</v>
      </c>
      <c r="D50" s="5">
        <v>141</v>
      </c>
      <c r="E50" s="6" t="s">
        <v>99</v>
      </c>
      <c r="F50" s="5" t="s">
        <v>161</v>
      </c>
      <c r="G50" s="6" t="s">
        <v>160</v>
      </c>
      <c r="H50" s="5" t="str">
        <f>"000111"</f>
        <v>000111</v>
      </c>
      <c r="I50" s="4">
        <v>43117</v>
      </c>
      <c r="J50" s="5" t="str">
        <f>"000054"</f>
        <v>000054</v>
      </c>
      <c r="K50" s="4">
        <v>43117</v>
      </c>
      <c r="L50" s="5" t="str">
        <f>"000101"</f>
        <v>000101</v>
      </c>
      <c r="M50" s="4">
        <v>43117</v>
      </c>
      <c r="N50" s="5">
        <v>17</v>
      </c>
      <c r="O50" s="5" t="str">
        <f>"006474"</f>
        <v>006474</v>
      </c>
      <c r="P50" s="4">
        <v>43383</v>
      </c>
      <c r="Q50" s="7">
        <v>5.0554699999999997</v>
      </c>
      <c r="R50" s="7">
        <v>0.52070000000000005</v>
      </c>
      <c r="S50" s="7">
        <v>4.53477</v>
      </c>
      <c r="T50" s="5">
        <v>241</v>
      </c>
      <c r="U50" s="4">
        <v>43389</v>
      </c>
      <c r="V50" s="5">
        <v>9916950205</v>
      </c>
      <c r="W50" s="6" t="s">
        <v>130</v>
      </c>
      <c r="X50" s="5" t="s">
        <v>66</v>
      </c>
      <c r="Y50" s="6" t="s">
        <v>65</v>
      </c>
      <c r="Z50" s="5" t="s">
        <v>88</v>
      </c>
      <c r="AA50" s="6" t="s">
        <v>87</v>
      </c>
      <c r="AB50" s="7">
        <f>Q50/100</f>
        <v>5.0554699999999994E-2</v>
      </c>
      <c r="AD50" s="8"/>
      <c r="AF50" s="8"/>
      <c r="AG50" s="8"/>
    </row>
    <row r="51" spans="1:33" x14ac:dyDescent="0.2">
      <c r="A51" s="12">
        <v>6599</v>
      </c>
      <c r="B51" s="13" t="s">
        <v>37</v>
      </c>
      <c r="C51" s="13">
        <v>43389</v>
      </c>
      <c r="D51" s="5">
        <v>141</v>
      </c>
      <c r="E51" s="6" t="s">
        <v>99</v>
      </c>
      <c r="F51" s="5" t="s">
        <v>159</v>
      </c>
      <c r="G51" s="6" t="s">
        <v>158</v>
      </c>
      <c r="H51" s="5" t="str">
        <f>"000109"</f>
        <v>000109</v>
      </c>
      <c r="I51" s="4">
        <v>43117</v>
      </c>
      <c r="J51" s="5" t="str">
        <f>"000055"</f>
        <v>000055</v>
      </c>
      <c r="K51" s="4">
        <v>43117</v>
      </c>
      <c r="L51" s="5" t="str">
        <f>"000102"</f>
        <v>000102</v>
      </c>
      <c r="M51" s="4">
        <v>43117</v>
      </c>
      <c r="N51" s="5">
        <v>17</v>
      </c>
      <c r="O51" s="5" t="str">
        <f>"006475"</f>
        <v>006475</v>
      </c>
      <c r="P51" s="4">
        <v>43383</v>
      </c>
      <c r="Q51" s="7">
        <v>5.2243500000000003</v>
      </c>
      <c r="R51" s="7">
        <v>0.53808999999999996</v>
      </c>
      <c r="S51" s="7">
        <v>4.6862599999999999</v>
      </c>
      <c r="T51" s="5">
        <v>241</v>
      </c>
      <c r="U51" s="4">
        <v>43389</v>
      </c>
      <c r="V51" s="5">
        <v>9916950205</v>
      </c>
      <c r="W51" s="6" t="s">
        <v>130</v>
      </c>
      <c r="X51" s="5" t="s">
        <v>66</v>
      </c>
      <c r="Y51" s="6" t="s">
        <v>65</v>
      </c>
      <c r="Z51" s="5" t="s">
        <v>88</v>
      </c>
      <c r="AA51" s="6" t="s">
        <v>87</v>
      </c>
      <c r="AB51" s="7">
        <f>Q51/100</f>
        <v>5.2243500000000005E-2</v>
      </c>
      <c r="AD51" s="8"/>
      <c r="AF51" s="8"/>
      <c r="AG51" s="8"/>
    </row>
    <row r="52" spans="1:33" x14ac:dyDescent="0.2">
      <c r="A52" s="12">
        <v>6600</v>
      </c>
      <c r="B52" s="13" t="s">
        <v>37</v>
      </c>
      <c r="C52" s="13">
        <v>43389</v>
      </c>
      <c r="D52" s="5">
        <v>141</v>
      </c>
      <c r="E52" s="6" t="s">
        <v>99</v>
      </c>
      <c r="F52" s="5" t="s">
        <v>157</v>
      </c>
      <c r="G52" s="6" t="s">
        <v>156</v>
      </c>
      <c r="H52" s="5" t="str">
        <f>"000108"</f>
        <v>000108</v>
      </c>
      <c r="I52" s="4">
        <v>43117</v>
      </c>
      <c r="J52" s="5" t="str">
        <f>"000056"</f>
        <v>000056</v>
      </c>
      <c r="K52" s="4">
        <v>43117</v>
      </c>
      <c r="L52" s="5" t="str">
        <f>"000103"</f>
        <v>000103</v>
      </c>
      <c r="M52" s="4">
        <v>43117</v>
      </c>
      <c r="N52" s="5">
        <v>17</v>
      </c>
      <c r="O52" s="5" t="str">
        <f>"006476"</f>
        <v>006476</v>
      </c>
      <c r="P52" s="4">
        <v>43383</v>
      </c>
      <c r="Q52" s="7">
        <v>5.2232399999999997</v>
      </c>
      <c r="R52" s="7">
        <v>0.53798000000000001</v>
      </c>
      <c r="S52" s="7">
        <v>4.6852600000000004</v>
      </c>
      <c r="T52" s="5">
        <v>241</v>
      </c>
      <c r="U52" s="4">
        <v>43389</v>
      </c>
      <c r="V52" s="5">
        <v>9916950205</v>
      </c>
      <c r="W52" s="6" t="s">
        <v>130</v>
      </c>
      <c r="X52" s="5" t="s">
        <v>66</v>
      </c>
      <c r="Y52" s="6" t="s">
        <v>65</v>
      </c>
      <c r="Z52" s="5" t="s">
        <v>88</v>
      </c>
      <c r="AA52" s="6" t="s">
        <v>87</v>
      </c>
      <c r="AB52" s="7">
        <f>Q52/100</f>
        <v>5.2232399999999998E-2</v>
      </c>
      <c r="AD52" s="8"/>
      <c r="AF52" s="8"/>
      <c r="AG52" s="8"/>
    </row>
    <row r="53" spans="1:33" x14ac:dyDescent="0.2">
      <c r="A53" s="12">
        <v>6601</v>
      </c>
      <c r="B53" s="13" t="s">
        <v>37</v>
      </c>
      <c r="C53" s="13">
        <v>43389</v>
      </c>
      <c r="D53" s="5">
        <v>141</v>
      </c>
      <c r="E53" s="6" t="s">
        <v>99</v>
      </c>
      <c r="F53" s="5" t="s">
        <v>155</v>
      </c>
      <c r="G53" s="6" t="s">
        <v>154</v>
      </c>
      <c r="H53" s="5" t="str">
        <f>"000125"</f>
        <v>000125</v>
      </c>
      <c r="I53" s="4">
        <v>43118</v>
      </c>
      <c r="J53" s="5" t="str">
        <f>"000069"</f>
        <v>000069</v>
      </c>
      <c r="K53" s="4">
        <v>43118</v>
      </c>
      <c r="L53" s="5" t="str">
        <f>"000105"</f>
        <v>000105</v>
      </c>
      <c r="M53" s="4">
        <v>43118</v>
      </c>
      <c r="N53" s="5">
        <v>17</v>
      </c>
      <c r="O53" s="5" t="str">
        <f>"006477"</f>
        <v>006477</v>
      </c>
      <c r="P53" s="4">
        <v>43383</v>
      </c>
      <c r="Q53" s="7">
        <v>4.5564900000000002</v>
      </c>
      <c r="R53" s="7">
        <v>0.46931</v>
      </c>
      <c r="S53" s="7">
        <v>4.08718</v>
      </c>
      <c r="T53" s="5">
        <v>241</v>
      </c>
      <c r="U53" s="4">
        <v>43389</v>
      </c>
      <c r="V53" s="5">
        <v>9916950205</v>
      </c>
      <c r="W53" s="6" t="s">
        <v>89</v>
      </c>
      <c r="X53" s="5" t="s">
        <v>66</v>
      </c>
      <c r="Y53" s="6" t="s">
        <v>65</v>
      </c>
      <c r="Z53" s="5" t="s">
        <v>88</v>
      </c>
      <c r="AA53" s="6" t="s">
        <v>87</v>
      </c>
      <c r="AB53" s="7">
        <f>Q53/100</f>
        <v>4.5564899999999998E-2</v>
      </c>
      <c r="AD53" s="8"/>
      <c r="AF53" s="8"/>
      <c r="AG53" s="8"/>
    </row>
    <row r="54" spans="1:33" x14ac:dyDescent="0.2">
      <c r="A54" s="12">
        <v>6602</v>
      </c>
      <c r="B54" s="13" t="s">
        <v>37</v>
      </c>
      <c r="C54" s="13">
        <v>43389</v>
      </c>
      <c r="D54" s="5">
        <v>141</v>
      </c>
      <c r="E54" s="6" t="s">
        <v>99</v>
      </c>
      <c r="F54" s="5" t="s">
        <v>153</v>
      </c>
      <c r="G54" s="6" t="s">
        <v>152</v>
      </c>
      <c r="H54" s="5" t="str">
        <f>"000114"</f>
        <v>000114</v>
      </c>
      <c r="I54" s="4">
        <v>43118</v>
      </c>
      <c r="J54" s="5" t="str">
        <f>"000070"</f>
        <v>000070</v>
      </c>
      <c r="K54" s="4">
        <v>43118</v>
      </c>
      <c r="L54" s="5" t="str">
        <f>"000110"</f>
        <v>000110</v>
      </c>
      <c r="M54" s="4">
        <v>43118</v>
      </c>
      <c r="N54" s="5">
        <v>17</v>
      </c>
      <c r="O54" s="5" t="str">
        <f>"006478"</f>
        <v>006478</v>
      </c>
      <c r="P54" s="4">
        <v>43383</v>
      </c>
      <c r="Q54" s="7">
        <v>5.2369000000000003</v>
      </c>
      <c r="R54" s="7">
        <v>0.53940999999999995</v>
      </c>
      <c r="S54" s="7">
        <v>4.6974900000000002</v>
      </c>
      <c r="T54" s="5">
        <v>241</v>
      </c>
      <c r="U54" s="4">
        <v>43389</v>
      </c>
      <c r="V54" s="5">
        <v>9916950205</v>
      </c>
      <c r="W54" s="6" t="s">
        <v>130</v>
      </c>
      <c r="X54" s="5" t="s">
        <v>66</v>
      </c>
      <c r="Y54" s="6" t="s">
        <v>65</v>
      </c>
      <c r="Z54" s="5" t="s">
        <v>88</v>
      </c>
      <c r="AA54" s="6" t="s">
        <v>87</v>
      </c>
      <c r="AB54" s="7">
        <f>Q54/100</f>
        <v>5.2369000000000006E-2</v>
      </c>
      <c r="AD54" s="8"/>
      <c r="AF54" s="8"/>
      <c r="AG54" s="8"/>
    </row>
    <row r="55" spans="1:33" x14ac:dyDescent="0.2">
      <c r="A55" s="12">
        <v>6603</v>
      </c>
      <c r="B55" s="13" t="s">
        <v>37</v>
      </c>
      <c r="C55" s="13">
        <v>43389</v>
      </c>
      <c r="D55" s="5">
        <v>141</v>
      </c>
      <c r="E55" s="6" t="s">
        <v>99</v>
      </c>
      <c r="F55" s="5" t="s">
        <v>151</v>
      </c>
      <c r="G55" s="6" t="s">
        <v>150</v>
      </c>
      <c r="H55" s="5" t="str">
        <f>"000166"</f>
        <v>000166</v>
      </c>
      <c r="I55" s="4">
        <v>43131</v>
      </c>
      <c r="J55" s="5" t="str">
        <f>"000095"</f>
        <v>000095</v>
      </c>
      <c r="K55" s="4">
        <v>43131</v>
      </c>
      <c r="L55" s="5" t="str">
        <f>"000151"</f>
        <v>000151</v>
      </c>
      <c r="M55" s="4">
        <v>43131</v>
      </c>
      <c r="N55" s="5">
        <v>17</v>
      </c>
      <c r="O55" s="5" t="str">
        <f>"006487"</f>
        <v>006487</v>
      </c>
      <c r="P55" s="4">
        <v>43383</v>
      </c>
      <c r="Q55" s="7">
        <v>26.222010000000001</v>
      </c>
      <c r="R55" s="7">
        <v>2.9630800000000002</v>
      </c>
      <c r="S55" s="7">
        <v>23.258929999999999</v>
      </c>
      <c r="T55" s="5">
        <v>241</v>
      </c>
      <c r="U55" s="4">
        <v>43389</v>
      </c>
      <c r="V55" s="5">
        <v>9916950205</v>
      </c>
      <c r="W55" s="6" t="s">
        <v>89</v>
      </c>
      <c r="X55" s="5" t="s">
        <v>129</v>
      </c>
      <c r="Y55" s="6" t="s">
        <v>128</v>
      </c>
      <c r="Z55" s="5" t="s">
        <v>88</v>
      </c>
      <c r="AA55" s="6" t="s">
        <v>87</v>
      </c>
      <c r="AB55" s="7">
        <f>Q55/100</f>
        <v>0.26222010000000001</v>
      </c>
      <c r="AD55" s="8"/>
      <c r="AF55" s="8"/>
      <c r="AG55" s="8"/>
    </row>
    <row r="56" spans="1:33" x14ac:dyDescent="0.2">
      <c r="A56" s="12">
        <v>6604</v>
      </c>
      <c r="B56" s="13" t="s">
        <v>37</v>
      </c>
      <c r="C56" s="13">
        <v>43389</v>
      </c>
      <c r="D56" s="5">
        <v>141</v>
      </c>
      <c r="E56" s="6" t="s">
        <v>99</v>
      </c>
      <c r="F56" s="5" t="s">
        <v>149</v>
      </c>
      <c r="G56" s="6" t="s">
        <v>148</v>
      </c>
      <c r="H56" s="5" t="str">
        <f>"000158"</f>
        <v>000158</v>
      </c>
      <c r="I56" s="4">
        <v>43131</v>
      </c>
      <c r="J56" s="5" t="str">
        <f>"000089"</f>
        <v>000089</v>
      </c>
      <c r="K56" s="4">
        <v>43131</v>
      </c>
      <c r="L56" s="5" t="str">
        <f>"000152"</f>
        <v>000152</v>
      </c>
      <c r="M56" s="4">
        <v>43131</v>
      </c>
      <c r="N56" s="5">
        <v>17</v>
      </c>
      <c r="O56" s="5" t="str">
        <f>"006489"</f>
        <v>006489</v>
      </c>
      <c r="P56" s="4">
        <v>43383</v>
      </c>
      <c r="Q56" s="7">
        <v>8.7013300000000005</v>
      </c>
      <c r="R56" s="7">
        <v>0.89622000000000002</v>
      </c>
      <c r="S56" s="7">
        <v>7.80511</v>
      </c>
      <c r="T56" s="5">
        <v>241</v>
      </c>
      <c r="U56" s="4">
        <v>43389</v>
      </c>
      <c r="V56" s="5">
        <v>9916950205</v>
      </c>
      <c r="W56" s="6" t="s">
        <v>89</v>
      </c>
      <c r="X56" s="5" t="s">
        <v>129</v>
      </c>
      <c r="Y56" s="6" t="s">
        <v>128</v>
      </c>
      <c r="Z56" s="5" t="s">
        <v>88</v>
      </c>
      <c r="AA56" s="6" t="s">
        <v>87</v>
      </c>
      <c r="AB56" s="7">
        <f>Q56/100</f>
        <v>8.7013300000000002E-2</v>
      </c>
      <c r="AD56" s="8"/>
      <c r="AF56" s="8"/>
      <c r="AG56" s="8"/>
    </row>
    <row r="57" spans="1:33" x14ac:dyDescent="0.2">
      <c r="A57" s="12">
        <v>6605</v>
      </c>
      <c r="B57" s="13" t="s">
        <v>37</v>
      </c>
      <c r="C57" s="13">
        <v>43389</v>
      </c>
      <c r="D57" s="5">
        <v>141</v>
      </c>
      <c r="E57" s="6" t="s">
        <v>99</v>
      </c>
      <c r="F57" s="5" t="s">
        <v>147</v>
      </c>
      <c r="G57" s="6" t="s">
        <v>146</v>
      </c>
      <c r="H57" s="5" t="str">
        <f>"000011"</f>
        <v>000011</v>
      </c>
      <c r="I57" s="4">
        <v>43047</v>
      </c>
      <c r="J57" s="5" t="str">
        <f>"000014"</f>
        <v>000014</v>
      </c>
      <c r="K57" s="4">
        <v>43048</v>
      </c>
      <c r="L57" s="5" t="str">
        <f>"000058"</f>
        <v>000058</v>
      </c>
      <c r="M57" s="4">
        <v>43089</v>
      </c>
      <c r="N57" s="5">
        <v>17</v>
      </c>
      <c r="O57" s="5" t="str">
        <f>"006501"</f>
        <v>006501</v>
      </c>
      <c r="P57" s="4">
        <v>43383</v>
      </c>
      <c r="Q57" s="7">
        <v>7.2912999999999997</v>
      </c>
      <c r="R57" s="7">
        <v>0.75827999999999995</v>
      </c>
      <c r="S57" s="7">
        <v>6.5330199999999996</v>
      </c>
      <c r="T57" s="5">
        <v>241</v>
      </c>
      <c r="U57" s="4">
        <v>43389</v>
      </c>
      <c r="V57" s="5">
        <v>9845621856</v>
      </c>
      <c r="W57" s="6" t="s">
        <v>143</v>
      </c>
      <c r="X57" s="5" t="s">
        <v>44</v>
      </c>
      <c r="Y57" s="6" t="s">
        <v>43</v>
      </c>
      <c r="Z57" s="5" t="s">
        <v>88</v>
      </c>
      <c r="AA57" s="6" t="s">
        <v>87</v>
      </c>
      <c r="AB57" s="7">
        <f>Q57/100</f>
        <v>7.2912999999999992E-2</v>
      </c>
      <c r="AD57" s="8"/>
      <c r="AF57" s="8"/>
      <c r="AG57" s="8"/>
    </row>
    <row r="58" spans="1:33" x14ac:dyDescent="0.2">
      <c r="A58" s="12">
        <v>6606</v>
      </c>
      <c r="B58" s="13" t="s">
        <v>37</v>
      </c>
      <c r="C58" s="13">
        <v>43389</v>
      </c>
      <c r="D58" s="5">
        <v>141</v>
      </c>
      <c r="E58" s="6" t="s">
        <v>99</v>
      </c>
      <c r="F58" s="5" t="s">
        <v>145</v>
      </c>
      <c r="G58" s="6" t="s">
        <v>144</v>
      </c>
      <c r="H58" s="5" t="str">
        <f>"000010"</f>
        <v>000010</v>
      </c>
      <c r="I58" s="4">
        <v>43047</v>
      </c>
      <c r="J58" s="5" t="str">
        <f>"000015"</f>
        <v>000015</v>
      </c>
      <c r="K58" s="4">
        <v>43049</v>
      </c>
      <c r="L58" s="5" t="str">
        <f>"000059"</f>
        <v>000059</v>
      </c>
      <c r="M58" s="4">
        <v>43089</v>
      </c>
      <c r="N58" s="5">
        <v>17</v>
      </c>
      <c r="O58" s="5" t="str">
        <f>"006502"</f>
        <v>006502</v>
      </c>
      <c r="P58" s="4">
        <v>43383</v>
      </c>
      <c r="Q58" s="7">
        <v>7.2927200000000001</v>
      </c>
      <c r="R58" s="7">
        <v>0.75893999999999995</v>
      </c>
      <c r="S58" s="7">
        <v>6.5337800000000001</v>
      </c>
      <c r="T58" s="5">
        <v>241</v>
      </c>
      <c r="U58" s="4">
        <v>43389</v>
      </c>
      <c r="V58" s="5">
        <v>9845621856</v>
      </c>
      <c r="W58" s="6" t="s">
        <v>143</v>
      </c>
      <c r="X58" s="5" t="s">
        <v>44</v>
      </c>
      <c r="Y58" s="6" t="s">
        <v>43</v>
      </c>
      <c r="Z58" s="5" t="s">
        <v>88</v>
      </c>
      <c r="AA58" s="6" t="s">
        <v>87</v>
      </c>
      <c r="AB58" s="7">
        <f>Q58/100</f>
        <v>7.2927199999999998E-2</v>
      </c>
      <c r="AD58" s="8"/>
      <c r="AF58" s="8"/>
      <c r="AG58" s="8"/>
    </row>
    <row r="59" spans="1:33" x14ac:dyDescent="0.2">
      <c r="A59" s="12">
        <v>7172</v>
      </c>
      <c r="B59" s="13" t="s">
        <v>56</v>
      </c>
      <c r="C59" s="13">
        <v>43418</v>
      </c>
      <c r="D59" s="5">
        <v>141</v>
      </c>
      <c r="E59" s="6" t="s">
        <v>99</v>
      </c>
      <c r="F59" s="5" t="s">
        <v>142</v>
      </c>
      <c r="G59" s="6" t="s">
        <v>141</v>
      </c>
      <c r="H59" s="5" t="str">
        <f>"000213"</f>
        <v>000213</v>
      </c>
      <c r="I59" s="4">
        <v>43151</v>
      </c>
      <c r="J59" s="5" t="str">
        <f>"000137"</f>
        <v>000137</v>
      </c>
      <c r="K59" s="4">
        <v>43151</v>
      </c>
      <c r="L59" s="5" t="str">
        <f>"000199"</f>
        <v>000199</v>
      </c>
      <c r="M59" s="4">
        <v>43151</v>
      </c>
      <c r="N59" s="5">
        <v>18</v>
      </c>
      <c r="O59" s="5" t="str">
        <f>"007190"</f>
        <v>007190</v>
      </c>
      <c r="P59" s="4">
        <v>43404</v>
      </c>
      <c r="Q59" s="7">
        <v>17.743770000000001</v>
      </c>
      <c r="R59" s="7">
        <v>2.0937800000000002</v>
      </c>
      <c r="S59" s="7">
        <v>15.649990000000001</v>
      </c>
      <c r="T59" s="5">
        <v>261</v>
      </c>
      <c r="U59" s="4">
        <v>43418</v>
      </c>
      <c r="V59" s="5">
        <v>9916950205</v>
      </c>
      <c r="W59" s="6" t="s">
        <v>93</v>
      </c>
      <c r="X59" s="5" t="s">
        <v>136</v>
      </c>
      <c r="Y59" s="6" t="s">
        <v>135</v>
      </c>
      <c r="Z59" s="5" t="s">
        <v>88</v>
      </c>
      <c r="AA59" s="6" t="s">
        <v>87</v>
      </c>
      <c r="AB59" s="7">
        <f>Q59/100</f>
        <v>0.1774377</v>
      </c>
      <c r="AD59" s="8"/>
      <c r="AF59" s="8"/>
      <c r="AG59" s="8"/>
    </row>
    <row r="60" spans="1:33" x14ac:dyDescent="0.2">
      <c r="A60" s="12">
        <v>7173</v>
      </c>
      <c r="B60" s="13" t="s">
        <v>56</v>
      </c>
      <c r="C60" s="13">
        <v>43418</v>
      </c>
      <c r="D60" s="5">
        <v>141</v>
      </c>
      <c r="E60" s="6" t="s">
        <v>99</v>
      </c>
      <c r="F60" s="5" t="s">
        <v>140</v>
      </c>
      <c r="G60" s="6" t="s">
        <v>139</v>
      </c>
      <c r="H60" s="5" t="str">
        <f>"000210"</f>
        <v>000210</v>
      </c>
      <c r="I60" s="4">
        <v>43151</v>
      </c>
      <c r="J60" s="5" t="str">
        <f>"000113"</f>
        <v>000113</v>
      </c>
      <c r="K60" s="4">
        <v>43151</v>
      </c>
      <c r="L60" s="5" t="str">
        <f>"000200"</f>
        <v>000200</v>
      </c>
      <c r="M60" s="4">
        <v>43151</v>
      </c>
      <c r="N60" s="5">
        <v>18</v>
      </c>
      <c r="O60" s="5" t="str">
        <f>"007191"</f>
        <v>007191</v>
      </c>
      <c r="P60" s="4">
        <v>43404</v>
      </c>
      <c r="Q60" s="7">
        <v>102.10811</v>
      </c>
      <c r="R60" s="7">
        <v>12.5593</v>
      </c>
      <c r="S60" s="7">
        <v>89.548810000000003</v>
      </c>
      <c r="T60" s="5">
        <v>261</v>
      </c>
      <c r="U60" s="4">
        <v>43418</v>
      </c>
      <c r="V60" s="5">
        <v>9916950205</v>
      </c>
      <c r="W60" s="6" t="s">
        <v>93</v>
      </c>
      <c r="X60" s="5" t="s">
        <v>136</v>
      </c>
      <c r="Y60" s="6" t="s">
        <v>135</v>
      </c>
      <c r="Z60" s="5" t="s">
        <v>88</v>
      </c>
      <c r="AA60" s="6" t="s">
        <v>87</v>
      </c>
      <c r="AB60" s="7">
        <f>Q60/100</f>
        <v>1.0210811</v>
      </c>
      <c r="AD60" s="8"/>
      <c r="AF60" s="8"/>
      <c r="AG60" s="8"/>
    </row>
    <row r="61" spans="1:33" x14ac:dyDescent="0.2">
      <c r="A61" s="12">
        <v>7174</v>
      </c>
      <c r="B61" s="13" t="s">
        <v>56</v>
      </c>
      <c r="C61" s="13">
        <v>43418</v>
      </c>
      <c r="D61" s="5">
        <v>141</v>
      </c>
      <c r="E61" s="6" t="s">
        <v>99</v>
      </c>
      <c r="F61" s="5" t="s">
        <v>138</v>
      </c>
      <c r="G61" s="6" t="s">
        <v>137</v>
      </c>
      <c r="H61" s="5" t="str">
        <f>"000209"</f>
        <v>000209</v>
      </c>
      <c r="I61" s="4">
        <v>43151</v>
      </c>
      <c r="J61" s="5" t="str">
        <f>"000114"</f>
        <v>000114</v>
      </c>
      <c r="K61" s="4">
        <v>43151</v>
      </c>
      <c r="L61" s="5" t="str">
        <f>"000207"</f>
        <v>000207</v>
      </c>
      <c r="M61" s="4">
        <v>43151</v>
      </c>
      <c r="N61" s="5">
        <v>18</v>
      </c>
      <c r="O61" s="5" t="str">
        <f>"007206"</f>
        <v>007206</v>
      </c>
      <c r="P61" s="4">
        <v>43404</v>
      </c>
      <c r="Q61" s="7">
        <v>102.11579</v>
      </c>
      <c r="R61" s="7">
        <v>12.56026</v>
      </c>
      <c r="S61" s="7">
        <v>89.555530000000005</v>
      </c>
      <c r="T61" s="5">
        <v>261</v>
      </c>
      <c r="U61" s="4">
        <v>43418</v>
      </c>
      <c r="V61" s="5">
        <v>9916950205</v>
      </c>
      <c r="W61" s="6" t="s">
        <v>93</v>
      </c>
      <c r="X61" s="5" t="s">
        <v>136</v>
      </c>
      <c r="Y61" s="6" t="s">
        <v>135</v>
      </c>
      <c r="Z61" s="5" t="s">
        <v>88</v>
      </c>
      <c r="AA61" s="6" t="s">
        <v>87</v>
      </c>
      <c r="AB61" s="7">
        <f>Q61/100</f>
        <v>1.0211579</v>
      </c>
      <c r="AD61" s="8"/>
      <c r="AF61" s="8"/>
      <c r="AG61" s="8"/>
    </row>
    <row r="62" spans="1:33" x14ac:dyDescent="0.2">
      <c r="A62" s="12">
        <v>7348</v>
      </c>
      <c r="B62" s="13" t="s">
        <v>56</v>
      </c>
      <c r="C62" s="13">
        <v>43424</v>
      </c>
      <c r="D62" s="5">
        <v>141</v>
      </c>
      <c r="E62" s="6" t="s">
        <v>99</v>
      </c>
      <c r="F62" s="5" t="s">
        <v>134</v>
      </c>
      <c r="G62" s="6" t="s">
        <v>133</v>
      </c>
      <c r="H62" s="5" t="str">
        <f>"000098"</f>
        <v>000098</v>
      </c>
      <c r="I62" s="4">
        <v>43223</v>
      </c>
      <c r="J62" s="5" t="str">
        <f>"000065"</f>
        <v>000065</v>
      </c>
      <c r="K62" s="4">
        <v>43223</v>
      </c>
      <c r="L62" s="5" t="str">
        <f>"000099"</f>
        <v>000099</v>
      </c>
      <c r="M62" s="4">
        <v>43223</v>
      </c>
      <c r="N62" s="5">
        <v>18</v>
      </c>
      <c r="O62" s="5" t="str">
        <f>"007222"</f>
        <v>007222</v>
      </c>
      <c r="P62" s="4">
        <v>43404</v>
      </c>
      <c r="Q62" s="7">
        <v>59.925759999999997</v>
      </c>
      <c r="R62" s="7">
        <v>6.1723600000000003</v>
      </c>
      <c r="S62" s="7">
        <v>53.753399999999999</v>
      </c>
      <c r="T62" s="5">
        <v>271</v>
      </c>
      <c r="U62" s="4">
        <v>43424</v>
      </c>
      <c r="V62" s="5">
        <v>9916950205</v>
      </c>
      <c r="W62" s="6" t="s">
        <v>92</v>
      </c>
      <c r="X62" s="5" t="s">
        <v>62</v>
      </c>
      <c r="Y62" s="6" t="s">
        <v>61</v>
      </c>
      <c r="Z62" s="5" t="s">
        <v>88</v>
      </c>
      <c r="AA62" s="6" t="s">
        <v>87</v>
      </c>
      <c r="AB62" s="7">
        <f>Q62/100</f>
        <v>0.59925759999999995</v>
      </c>
      <c r="AD62" s="8"/>
      <c r="AF62" s="8"/>
      <c r="AG62" s="8"/>
    </row>
    <row r="63" spans="1:33" x14ac:dyDescent="0.2">
      <c r="A63" s="12">
        <v>7571</v>
      </c>
      <c r="B63" s="13" t="s">
        <v>36</v>
      </c>
      <c r="C63" s="13">
        <v>43437</v>
      </c>
      <c r="D63" s="5">
        <v>141</v>
      </c>
      <c r="E63" s="6" t="s">
        <v>99</v>
      </c>
      <c r="F63" s="5" t="s">
        <v>132</v>
      </c>
      <c r="G63" s="6" t="s">
        <v>131</v>
      </c>
      <c r="H63" s="5" t="str">
        <f>"000123"</f>
        <v>000123</v>
      </c>
      <c r="I63" s="4">
        <v>43118</v>
      </c>
      <c r="J63" s="5" t="str">
        <f>"000066"</f>
        <v>000066</v>
      </c>
      <c r="K63" s="4">
        <v>43118</v>
      </c>
      <c r="L63" s="5" t="str">
        <f>"000114"</f>
        <v>000114</v>
      </c>
      <c r="M63" s="4">
        <v>43118</v>
      </c>
      <c r="N63" s="5">
        <v>17</v>
      </c>
      <c r="O63" s="5" t="str">
        <f>"007503"</f>
        <v>007503</v>
      </c>
      <c r="P63" s="4">
        <v>43426</v>
      </c>
      <c r="Q63" s="7">
        <v>10.48723</v>
      </c>
      <c r="R63" s="7">
        <v>1.1326099999999999</v>
      </c>
      <c r="S63" s="7">
        <v>9.3546200000000006</v>
      </c>
      <c r="T63" s="5">
        <v>280</v>
      </c>
      <c r="U63" s="4">
        <v>43437</v>
      </c>
      <c r="V63" s="5">
        <v>9916950205</v>
      </c>
      <c r="W63" s="6" t="s">
        <v>130</v>
      </c>
      <c r="X63" s="5" t="s">
        <v>129</v>
      </c>
      <c r="Y63" s="6" t="s">
        <v>128</v>
      </c>
      <c r="Z63" s="5" t="s">
        <v>88</v>
      </c>
      <c r="AA63" s="6" t="s">
        <v>87</v>
      </c>
      <c r="AB63" s="7">
        <f>Q63/100</f>
        <v>0.1048723</v>
      </c>
      <c r="AD63" s="8"/>
      <c r="AF63" s="8"/>
      <c r="AG63" s="8"/>
    </row>
    <row r="64" spans="1:33" x14ac:dyDescent="0.2">
      <c r="A64" s="12">
        <v>7572</v>
      </c>
      <c r="B64" s="13" t="s">
        <v>36</v>
      </c>
      <c r="C64" s="13">
        <v>43437</v>
      </c>
      <c r="D64" s="5">
        <v>141</v>
      </c>
      <c r="E64" s="6" t="s">
        <v>99</v>
      </c>
      <c r="F64" s="5" t="s">
        <v>127</v>
      </c>
      <c r="G64" s="6" t="s">
        <v>126</v>
      </c>
      <c r="H64" s="5" t="str">
        <f>"000244"</f>
        <v>000244</v>
      </c>
      <c r="I64" s="4">
        <v>43173</v>
      </c>
      <c r="J64" s="5" t="str">
        <f>"000158"</f>
        <v>000158</v>
      </c>
      <c r="K64" s="4">
        <v>43173</v>
      </c>
      <c r="L64" s="5" t="str">
        <f>"000236"</f>
        <v>000236</v>
      </c>
      <c r="M64" s="4">
        <v>43173</v>
      </c>
      <c r="N64" s="5">
        <v>15</v>
      </c>
      <c r="O64" s="5" t="str">
        <f>"007622"</f>
        <v>007622</v>
      </c>
      <c r="P64" s="4">
        <v>43432</v>
      </c>
      <c r="Q64" s="7">
        <v>19.43731</v>
      </c>
      <c r="R64" s="7">
        <v>2.7336299999999998</v>
      </c>
      <c r="S64" s="7">
        <v>16.703679999999999</v>
      </c>
      <c r="T64" s="5">
        <v>280</v>
      </c>
      <c r="U64" s="4">
        <v>43437</v>
      </c>
      <c r="V64" s="5">
        <v>9845199339</v>
      </c>
      <c r="W64" s="6" t="s">
        <v>94</v>
      </c>
      <c r="X64" s="5" t="s">
        <v>44</v>
      </c>
      <c r="Y64" s="6" t="s">
        <v>43</v>
      </c>
      <c r="Z64" s="5" t="s">
        <v>88</v>
      </c>
      <c r="AA64" s="6" t="s">
        <v>87</v>
      </c>
      <c r="AB64" s="7">
        <f>Q64/100</f>
        <v>0.19437309999999999</v>
      </c>
      <c r="AD64" s="8"/>
      <c r="AF64" s="8"/>
      <c r="AG64" s="8"/>
    </row>
    <row r="65" spans="1:33" x14ac:dyDescent="0.2">
      <c r="A65" s="12">
        <v>7789</v>
      </c>
      <c r="B65" s="13" t="s">
        <v>36</v>
      </c>
      <c r="C65" s="13">
        <v>43448</v>
      </c>
      <c r="D65" s="5">
        <v>141</v>
      </c>
      <c r="E65" s="6" t="s">
        <v>99</v>
      </c>
      <c r="F65" s="5" t="s">
        <v>125</v>
      </c>
      <c r="G65" s="6" t="s">
        <v>124</v>
      </c>
      <c r="H65" s="5" t="str">
        <f>"000281"</f>
        <v>000281</v>
      </c>
      <c r="I65" s="4">
        <v>42451</v>
      </c>
      <c r="J65" s="5" t="str">
        <f>"000367"</f>
        <v>000367</v>
      </c>
      <c r="K65" s="4">
        <v>42671</v>
      </c>
      <c r="L65" s="5" t="str">
        <f>"000584"</f>
        <v>000584</v>
      </c>
      <c r="M65" s="4">
        <v>42671</v>
      </c>
      <c r="N65" s="5">
        <v>16</v>
      </c>
      <c r="O65" s="5" t="str">
        <f>"007706"</f>
        <v>007706</v>
      </c>
      <c r="P65" s="4">
        <v>43441</v>
      </c>
      <c r="Q65" s="7">
        <v>14.02637</v>
      </c>
      <c r="R65" s="7">
        <v>1.7390399999999999</v>
      </c>
      <c r="S65" s="7">
        <v>12.287330000000001</v>
      </c>
      <c r="T65" s="5">
        <v>291</v>
      </c>
      <c r="U65" s="4">
        <v>43448</v>
      </c>
      <c r="V65" s="5">
        <v>9886296777</v>
      </c>
      <c r="W65" s="6" t="s">
        <v>83</v>
      </c>
      <c r="X65" s="5" t="s">
        <v>29</v>
      </c>
      <c r="Y65" s="6" t="s">
        <v>30</v>
      </c>
      <c r="Z65" s="5" t="s">
        <v>88</v>
      </c>
      <c r="AA65" s="6" t="s">
        <v>87</v>
      </c>
      <c r="AB65" s="7">
        <f>Q65/100</f>
        <v>0.14026369999999999</v>
      </c>
      <c r="AD65" s="8"/>
      <c r="AF65" s="8"/>
      <c r="AG65" s="8"/>
    </row>
    <row r="66" spans="1:33" x14ac:dyDescent="0.2">
      <c r="A66" s="12">
        <v>7790</v>
      </c>
      <c r="B66" s="13" t="s">
        <v>36</v>
      </c>
      <c r="C66" s="13">
        <v>43448</v>
      </c>
      <c r="D66" s="5">
        <v>141</v>
      </c>
      <c r="E66" s="6" t="s">
        <v>99</v>
      </c>
      <c r="F66" s="5" t="s">
        <v>123</v>
      </c>
      <c r="G66" s="6" t="s">
        <v>122</v>
      </c>
      <c r="H66" s="5" t="str">
        <f>"000327"</f>
        <v>000327</v>
      </c>
      <c r="I66" s="4">
        <v>42451</v>
      </c>
      <c r="J66" s="5" t="str">
        <f>"000345"</f>
        <v>000345</v>
      </c>
      <c r="K66" s="4">
        <v>42916</v>
      </c>
      <c r="L66" s="5" t="str">
        <f>"000585"</f>
        <v>000585</v>
      </c>
      <c r="M66" s="4">
        <v>42671</v>
      </c>
      <c r="N66" s="5">
        <v>16</v>
      </c>
      <c r="O66" s="5" t="str">
        <f>"007855"</f>
        <v>007855</v>
      </c>
      <c r="P66" s="4">
        <v>43444</v>
      </c>
      <c r="Q66" s="7">
        <v>14.215450000000001</v>
      </c>
      <c r="R66" s="7">
        <v>1.86226</v>
      </c>
      <c r="S66" s="7">
        <v>12.35319</v>
      </c>
      <c r="T66" s="5">
        <v>291</v>
      </c>
      <c r="U66" s="4">
        <v>43448</v>
      </c>
      <c r="V66" s="5">
        <v>9886296777</v>
      </c>
      <c r="W66" s="6" t="s">
        <v>83</v>
      </c>
      <c r="X66" s="5" t="s">
        <v>29</v>
      </c>
      <c r="Y66" s="6" t="s">
        <v>30</v>
      </c>
      <c r="Z66" s="5" t="s">
        <v>88</v>
      </c>
      <c r="AA66" s="6" t="s">
        <v>87</v>
      </c>
      <c r="AB66" s="7">
        <f>Q66/100</f>
        <v>0.14215450000000002</v>
      </c>
      <c r="AD66" s="8"/>
      <c r="AF66" s="8"/>
      <c r="AG66" s="8"/>
    </row>
    <row r="67" spans="1:33" x14ac:dyDescent="0.2">
      <c r="A67" s="12">
        <v>7791</v>
      </c>
      <c r="B67" s="13" t="s">
        <v>36</v>
      </c>
      <c r="C67" s="13">
        <v>43448</v>
      </c>
      <c r="D67" s="5">
        <v>141</v>
      </c>
      <c r="E67" s="6" t="s">
        <v>99</v>
      </c>
      <c r="F67" s="5" t="s">
        <v>121</v>
      </c>
      <c r="G67" s="6" t="s">
        <v>120</v>
      </c>
      <c r="H67" s="5" t="str">
        <f>"000324"</f>
        <v>000324</v>
      </c>
      <c r="I67" s="4">
        <v>42429</v>
      </c>
      <c r="J67" s="5" t="str">
        <f>"000358"</f>
        <v>000358</v>
      </c>
      <c r="K67" s="4">
        <v>42581</v>
      </c>
      <c r="L67" s="5" t="str">
        <f>"000590"</f>
        <v>000590</v>
      </c>
      <c r="M67" s="4">
        <v>42671</v>
      </c>
      <c r="N67" s="5">
        <v>16</v>
      </c>
      <c r="O67" s="5" t="str">
        <f>"007856"</f>
        <v>007856</v>
      </c>
      <c r="P67" s="4">
        <v>43444</v>
      </c>
      <c r="Q67" s="7">
        <v>4.8847699999999996</v>
      </c>
      <c r="R67" s="7">
        <v>0.58499000000000001</v>
      </c>
      <c r="S67" s="7">
        <v>4.2997800000000002</v>
      </c>
      <c r="T67" s="5">
        <v>291</v>
      </c>
      <c r="U67" s="4">
        <v>43448</v>
      </c>
      <c r="V67" s="5">
        <v>9886296777</v>
      </c>
      <c r="W67" s="6" t="s">
        <v>83</v>
      </c>
      <c r="X67" s="5" t="s">
        <v>29</v>
      </c>
      <c r="Y67" s="6" t="s">
        <v>30</v>
      </c>
      <c r="Z67" s="5" t="s">
        <v>88</v>
      </c>
      <c r="AA67" s="6" t="s">
        <v>87</v>
      </c>
      <c r="AB67" s="7">
        <f>Q67/100</f>
        <v>4.8847699999999994E-2</v>
      </c>
      <c r="AD67" s="8"/>
      <c r="AF67" s="8"/>
      <c r="AG67" s="8"/>
    </row>
    <row r="68" spans="1:33" x14ac:dyDescent="0.2">
      <c r="A68" s="12">
        <v>7792</v>
      </c>
      <c r="B68" s="13" t="s">
        <v>36</v>
      </c>
      <c r="C68" s="13">
        <v>43448</v>
      </c>
      <c r="D68" s="5">
        <v>141</v>
      </c>
      <c r="E68" s="6" t="s">
        <v>99</v>
      </c>
      <c r="F68" s="5" t="s">
        <v>119</v>
      </c>
      <c r="G68" s="6" t="s">
        <v>118</v>
      </c>
      <c r="H68" s="5" t="str">
        <f>"000321"</f>
        <v>000321</v>
      </c>
      <c r="I68" s="4">
        <v>42451</v>
      </c>
      <c r="J68" s="5" t="str">
        <f>"000342"</f>
        <v>000342</v>
      </c>
      <c r="K68" s="4">
        <v>42671</v>
      </c>
      <c r="L68" s="5" t="str">
        <f>"000596"</f>
        <v>000596</v>
      </c>
      <c r="M68" s="4">
        <v>42671</v>
      </c>
      <c r="N68" s="5">
        <v>16</v>
      </c>
      <c r="O68" s="5" t="str">
        <f>"007858"</f>
        <v>007858</v>
      </c>
      <c r="P68" s="4">
        <v>43444</v>
      </c>
      <c r="Q68" s="7">
        <v>9.4631799999999995</v>
      </c>
      <c r="R68" s="7">
        <v>1.1796800000000001</v>
      </c>
      <c r="S68" s="7">
        <v>8.2835000000000001</v>
      </c>
      <c r="T68" s="5">
        <v>291</v>
      </c>
      <c r="U68" s="4">
        <v>43448</v>
      </c>
      <c r="V68" s="5">
        <v>9886296777</v>
      </c>
      <c r="W68" s="6" t="s">
        <v>83</v>
      </c>
      <c r="X68" s="5" t="s">
        <v>29</v>
      </c>
      <c r="Y68" s="6" t="s">
        <v>30</v>
      </c>
      <c r="Z68" s="5" t="s">
        <v>88</v>
      </c>
      <c r="AA68" s="6" t="s">
        <v>87</v>
      </c>
      <c r="AB68" s="7">
        <f>Q68/100</f>
        <v>9.4631799999999988E-2</v>
      </c>
      <c r="AD68" s="8"/>
      <c r="AF68" s="8"/>
      <c r="AG68" s="8"/>
    </row>
    <row r="69" spans="1:33" x14ac:dyDescent="0.2">
      <c r="A69" s="12">
        <v>7793</v>
      </c>
      <c r="B69" s="13" t="s">
        <v>36</v>
      </c>
      <c r="C69" s="13">
        <v>43448</v>
      </c>
      <c r="D69" s="5">
        <v>141</v>
      </c>
      <c r="E69" s="6" t="s">
        <v>99</v>
      </c>
      <c r="F69" s="5" t="s">
        <v>117</v>
      </c>
      <c r="G69" s="6" t="s">
        <v>116</v>
      </c>
      <c r="H69" s="5" t="str">
        <f>"000326"</f>
        <v>000326</v>
      </c>
      <c r="I69" s="4">
        <v>41954</v>
      </c>
      <c r="J69" s="5" t="str">
        <f>"000425"</f>
        <v>000425</v>
      </c>
      <c r="K69" s="4">
        <v>42233</v>
      </c>
      <c r="L69" s="5" t="str">
        <f>"000180"</f>
        <v>000180</v>
      </c>
      <c r="M69" s="4">
        <v>42521</v>
      </c>
      <c r="N69" s="5">
        <v>14</v>
      </c>
      <c r="O69" s="5" t="str">
        <f>"008008"</f>
        <v>008008</v>
      </c>
      <c r="P69" s="4">
        <v>43448</v>
      </c>
      <c r="Q69" s="7">
        <v>9.9984800000000007</v>
      </c>
      <c r="R69" s="7">
        <v>1.23065</v>
      </c>
      <c r="S69" s="7">
        <v>8.76783</v>
      </c>
      <c r="T69" s="5">
        <v>291</v>
      </c>
      <c r="U69" s="4">
        <v>43448</v>
      </c>
      <c r="V69" s="5">
        <v>9886296777</v>
      </c>
      <c r="W69" s="6" t="s">
        <v>80</v>
      </c>
      <c r="X69" s="5" t="s">
        <v>29</v>
      </c>
      <c r="Y69" s="6" t="s">
        <v>30</v>
      </c>
      <c r="Z69" s="5" t="s">
        <v>88</v>
      </c>
      <c r="AA69" s="6" t="s">
        <v>87</v>
      </c>
      <c r="AB69" s="7">
        <f>Q69/100</f>
        <v>9.9984800000000013E-2</v>
      </c>
      <c r="AD69" s="8"/>
      <c r="AF69" s="8"/>
      <c r="AG69" s="8"/>
    </row>
    <row r="70" spans="1:33" x14ac:dyDescent="0.2">
      <c r="A70" s="12">
        <v>7880</v>
      </c>
      <c r="B70" s="13" t="s">
        <v>36</v>
      </c>
      <c r="C70" s="13">
        <v>43453</v>
      </c>
      <c r="D70" s="5">
        <v>141</v>
      </c>
      <c r="E70" s="6" t="s">
        <v>99</v>
      </c>
      <c r="F70" s="5" t="s">
        <v>115</v>
      </c>
      <c r="G70" s="6" t="s">
        <v>114</v>
      </c>
      <c r="H70" s="5" t="str">
        <f>"000035"</f>
        <v>000035</v>
      </c>
      <c r="I70" s="4">
        <v>43337</v>
      </c>
      <c r="J70" s="5" t="str">
        <f>"000139"</f>
        <v>000139</v>
      </c>
      <c r="K70" s="4">
        <v>43423</v>
      </c>
      <c r="L70" s="5" t="str">
        <f>"000133"</f>
        <v>000133</v>
      </c>
      <c r="M70" s="4">
        <v>43423</v>
      </c>
      <c r="N70" s="5">
        <v>18</v>
      </c>
      <c r="O70" s="5" t="str">
        <f>"008066"</f>
        <v>008066</v>
      </c>
      <c r="P70" s="4">
        <v>43451</v>
      </c>
      <c r="Q70" s="7">
        <v>9.8442600000000002</v>
      </c>
      <c r="R70" s="7">
        <v>1.0451699999999999</v>
      </c>
      <c r="S70" s="7">
        <v>8.7990899999999996</v>
      </c>
      <c r="T70" s="5">
        <v>296</v>
      </c>
      <c r="U70" s="4">
        <v>43453</v>
      </c>
      <c r="V70" s="5">
        <v>9964168613</v>
      </c>
      <c r="W70" s="6" t="s">
        <v>79</v>
      </c>
      <c r="X70" s="5" t="s">
        <v>76</v>
      </c>
      <c r="Y70" s="6" t="s">
        <v>75</v>
      </c>
      <c r="Z70" s="5" t="s">
        <v>39</v>
      </c>
      <c r="AA70" s="6" t="s">
        <v>38</v>
      </c>
      <c r="AB70" s="7">
        <f>Q70/100</f>
        <v>9.8442600000000005E-2</v>
      </c>
      <c r="AD70" s="8"/>
      <c r="AF70" s="8"/>
      <c r="AG70" s="8"/>
    </row>
    <row r="71" spans="1:33" x14ac:dyDescent="0.2">
      <c r="A71" s="12">
        <v>7916</v>
      </c>
      <c r="B71" s="13" t="s">
        <v>36</v>
      </c>
      <c r="C71" s="13">
        <v>43454</v>
      </c>
      <c r="D71" s="5">
        <v>141</v>
      </c>
      <c r="E71" s="6" t="s">
        <v>99</v>
      </c>
      <c r="F71" s="5" t="s">
        <v>113</v>
      </c>
      <c r="G71" s="6" t="s">
        <v>112</v>
      </c>
      <c r="H71" s="5" t="str">
        <f>"000252"</f>
        <v>000252</v>
      </c>
      <c r="I71" s="4">
        <v>43184</v>
      </c>
      <c r="J71" s="5" t="str">
        <f>"000167"</f>
        <v>000167</v>
      </c>
      <c r="K71" s="4">
        <v>43185</v>
      </c>
      <c r="L71" s="5" t="str">
        <f>"000241"</f>
        <v>000241</v>
      </c>
      <c r="M71" s="4">
        <v>43185</v>
      </c>
      <c r="N71" s="5">
        <v>18</v>
      </c>
      <c r="O71" s="5" t="str">
        <f>"007916"</f>
        <v>007916</v>
      </c>
      <c r="P71" s="4">
        <v>43447</v>
      </c>
      <c r="Q71" s="7">
        <v>99.894080000000002</v>
      </c>
      <c r="R71" s="7">
        <v>12.28697</v>
      </c>
      <c r="S71" s="7">
        <v>87.607110000000006</v>
      </c>
      <c r="T71" s="5">
        <v>298</v>
      </c>
      <c r="U71" s="4">
        <v>43454</v>
      </c>
      <c r="V71" s="5">
        <v>9916950205</v>
      </c>
      <c r="W71" s="6" t="s">
        <v>92</v>
      </c>
      <c r="X71" s="5" t="s">
        <v>96</v>
      </c>
      <c r="Y71" s="6" t="s">
        <v>95</v>
      </c>
      <c r="Z71" s="5" t="s">
        <v>88</v>
      </c>
      <c r="AA71" s="6" t="s">
        <v>87</v>
      </c>
      <c r="AB71" s="7">
        <f>Q71/100</f>
        <v>0.99894080000000007</v>
      </c>
      <c r="AD71" s="8"/>
      <c r="AF71" s="8"/>
      <c r="AG71" s="8"/>
    </row>
    <row r="72" spans="1:33" x14ac:dyDescent="0.2">
      <c r="A72" s="12">
        <v>7917</v>
      </c>
      <c r="B72" s="13" t="s">
        <v>36</v>
      </c>
      <c r="C72" s="13">
        <v>43454</v>
      </c>
      <c r="D72" s="5">
        <v>141</v>
      </c>
      <c r="E72" s="6" t="s">
        <v>99</v>
      </c>
      <c r="F72" s="5" t="s">
        <v>111</v>
      </c>
      <c r="G72" s="6" t="s">
        <v>110</v>
      </c>
      <c r="H72" s="5" t="str">
        <f>"000256"</f>
        <v>000256</v>
      </c>
      <c r="I72" s="4">
        <v>43184</v>
      </c>
      <c r="J72" s="5" t="str">
        <f>"000166"</f>
        <v>000166</v>
      </c>
      <c r="K72" s="4">
        <v>43185</v>
      </c>
      <c r="L72" s="5" t="str">
        <f>"000243"</f>
        <v>000243</v>
      </c>
      <c r="M72" s="4">
        <v>43185</v>
      </c>
      <c r="N72" s="5">
        <v>18</v>
      </c>
      <c r="O72" s="5" t="str">
        <f>"007917"</f>
        <v>007917</v>
      </c>
      <c r="P72" s="4">
        <v>43447</v>
      </c>
      <c r="Q72" s="7">
        <v>99.882050000000007</v>
      </c>
      <c r="R72" s="7">
        <v>12.28548</v>
      </c>
      <c r="S72" s="7">
        <v>87.59657</v>
      </c>
      <c r="T72" s="5">
        <v>298</v>
      </c>
      <c r="U72" s="4">
        <v>43454</v>
      </c>
      <c r="V72" s="5">
        <v>9916950205</v>
      </c>
      <c r="W72" s="6" t="s">
        <v>86</v>
      </c>
      <c r="X72" s="5" t="s">
        <v>96</v>
      </c>
      <c r="Y72" s="6" t="s">
        <v>95</v>
      </c>
      <c r="Z72" s="5" t="s">
        <v>88</v>
      </c>
      <c r="AA72" s="6" t="s">
        <v>87</v>
      </c>
      <c r="AB72" s="7">
        <f>Q72/100</f>
        <v>0.99882050000000011</v>
      </c>
      <c r="AD72" s="8"/>
      <c r="AF72" s="8"/>
      <c r="AG72" s="8"/>
    </row>
    <row r="73" spans="1:33" x14ac:dyDescent="0.2">
      <c r="A73" s="12">
        <v>7918</v>
      </c>
      <c r="B73" s="13" t="s">
        <v>36</v>
      </c>
      <c r="C73" s="13">
        <v>43454</v>
      </c>
      <c r="D73" s="5">
        <v>141</v>
      </c>
      <c r="E73" s="6" t="s">
        <v>99</v>
      </c>
      <c r="F73" s="5" t="s">
        <v>109</v>
      </c>
      <c r="G73" s="6" t="s">
        <v>108</v>
      </c>
      <c r="H73" s="5" t="str">
        <f>"000253"</f>
        <v>000253</v>
      </c>
      <c r="I73" s="4">
        <v>43184</v>
      </c>
      <c r="J73" s="5" t="str">
        <f>"000161"</f>
        <v>000161</v>
      </c>
      <c r="K73" s="4">
        <v>43185</v>
      </c>
      <c r="L73" s="5" t="str">
        <f>"000244"</f>
        <v>000244</v>
      </c>
      <c r="M73" s="4">
        <v>43185</v>
      </c>
      <c r="N73" s="5">
        <v>18</v>
      </c>
      <c r="O73" s="5" t="str">
        <f>"007918"</f>
        <v>007918</v>
      </c>
      <c r="P73" s="4">
        <v>43447</v>
      </c>
      <c r="Q73" s="7">
        <v>99.885180000000005</v>
      </c>
      <c r="R73" s="7">
        <v>12.285880000000001</v>
      </c>
      <c r="S73" s="7">
        <v>87.599299999999999</v>
      </c>
      <c r="T73" s="5">
        <v>298</v>
      </c>
      <c r="U73" s="4">
        <v>43454</v>
      </c>
      <c r="V73" s="5">
        <v>9916950205</v>
      </c>
      <c r="W73" s="6" t="s">
        <v>92</v>
      </c>
      <c r="X73" s="5" t="s">
        <v>96</v>
      </c>
      <c r="Y73" s="6" t="s">
        <v>95</v>
      </c>
      <c r="Z73" s="5" t="s">
        <v>88</v>
      </c>
      <c r="AA73" s="6" t="s">
        <v>87</v>
      </c>
      <c r="AB73" s="7">
        <f>Q73/100</f>
        <v>0.99885180000000007</v>
      </c>
      <c r="AD73" s="8"/>
      <c r="AF73" s="8"/>
      <c r="AG73" s="8"/>
    </row>
    <row r="74" spans="1:33" x14ac:dyDescent="0.2">
      <c r="A74" s="12">
        <v>7919</v>
      </c>
      <c r="B74" s="13" t="s">
        <v>36</v>
      </c>
      <c r="C74" s="13">
        <v>43454</v>
      </c>
      <c r="D74" s="5">
        <v>141</v>
      </c>
      <c r="E74" s="6" t="s">
        <v>99</v>
      </c>
      <c r="F74" s="5" t="s">
        <v>107</v>
      </c>
      <c r="G74" s="6" t="s">
        <v>106</v>
      </c>
      <c r="H74" s="5" t="str">
        <f>"000249"</f>
        <v>000249</v>
      </c>
      <c r="I74" s="4">
        <v>43184</v>
      </c>
      <c r="J74" s="5" t="str">
        <f>"000162"</f>
        <v>000162</v>
      </c>
      <c r="K74" s="4">
        <v>43185</v>
      </c>
      <c r="L74" s="5" t="str">
        <f>"000245"</f>
        <v>000245</v>
      </c>
      <c r="M74" s="4">
        <v>43185</v>
      </c>
      <c r="N74" s="5">
        <v>18</v>
      </c>
      <c r="O74" s="5" t="str">
        <f>"007919"</f>
        <v>007919</v>
      </c>
      <c r="P74" s="4">
        <v>43447</v>
      </c>
      <c r="Q74" s="7">
        <v>99.890619999999998</v>
      </c>
      <c r="R74" s="7">
        <v>12.28655</v>
      </c>
      <c r="S74" s="7">
        <v>87.604069999999993</v>
      </c>
      <c r="T74" s="5">
        <v>298</v>
      </c>
      <c r="U74" s="4">
        <v>43454</v>
      </c>
      <c r="V74" s="5">
        <v>9916950205</v>
      </c>
      <c r="W74" s="6" t="s">
        <v>92</v>
      </c>
      <c r="X74" s="5" t="s">
        <v>96</v>
      </c>
      <c r="Y74" s="6" t="s">
        <v>95</v>
      </c>
      <c r="Z74" s="5" t="s">
        <v>88</v>
      </c>
      <c r="AA74" s="6" t="s">
        <v>87</v>
      </c>
      <c r="AB74" s="7">
        <f>Q74/100</f>
        <v>0.99890619999999997</v>
      </c>
      <c r="AD74" s="8"/>
      <c r="AF74" s="8"/>
      <c r="AG74" s="8"/>
    </row>
    <row r="75" spans="1:33" x14ac:dyDescent="0.2">
      <c r="A75" s="12">
        <v>7920</v>
      </c>
      <c r="B75" s="13" t="s">
        <v>36</v>
      </c>
      <c r="C75" s="13">
        <v>43454</v>
      </c>
      <c r="D75" s="5">
        <v>141</v>
      </c>
      <c r="E75" s="6" t="s">
        <v>99</v>
      </c>
      <c r="F75" s="5" t="s">
        <v>105</v>
      </c>
      <c r="G75" s="6" t="s">
        <v>104</v>
      </c>
      <c r="H75" s="5" t="str">
        <f>"000250"</f>
        <v>000250</v>
      </c>
      <c r="I75" s="4">
        <v>43184</v>
      </c>
      <c r="J75" s="5" t="str">
        <f>"000163"</f>
        <v>000163</v>
      </c>
      <c r="K75" s="4">
        <v>43185</v>
      </c>
      <c r="L75" s="5" t="str">
        <f>"000246"</f>
        <v>000246</v>
      </c>
      <c r="M75" s="4">
        <v>43185</v>
      </c>
      <c r="N75" s="5">
        <v>18</v>
      </c>
      <c r="O75" s="5" t="str">
        <f>"007920"</f>
        <v>007920</v>
      </c>
      <c r="P75" s="4">
        <v>43447</v>
      </c>
      <c r="Q75" s="7">
        <v>16.648389999999999</v>
      </c>
      <c r="R75" s="7">
        <v>1.9644999999999999</v>
      </c>
      <c r="S75" s="7">
        <v>14.68389</v>
      </c>
      <c r="T75" s="5">
        <v>298</v>
      </c>
      <c r="U75" s="4">
        <v>43454</v>
      </c>
      <c r="V75" s="5">
        <v>9916950205</v>
      </c>
      <c r="W75" s="6" t="s">
        <v>92</v>
      </c>
      <c r="X75" s="5" t="s">
        <v>44</v>
      </c>
      <c r="Y75" s="6" t="s">
        <v>43</v>
      </c>
      <c r="Z75" s="5" t="s">
        <v>88</v>
      </c>
      <c r="AA75" s="6" t="s">
        <v>87</v>
      </c>
      <c r="AB75" s="7">
        <f>Q75/100</f>
        <v>0.16648389999999999</v>
      </c>
      <c r="AD75" s="8"/>
      <c r="AF75" s="8"/>
      <c r="AG75" s="8"/>
    </row>
    <row r="76" spans="1:33" x14ac:dyDescent="0.2">
      <c r="A76" s="12">
        <v>7921</v>
      </c>
      <c r="B76" s="13" t="s">
        <v>36</v>
      </c>
      <c r="C76" s="13">
        <v>43454</v>
      </c>
      <c r="D76" s="5">
        <v>141</v>
      </c>
      <c r="E76" s="6" t="s">
        <v>99</v>
      </c>
      <c r="F76" s="5" t="s">
        <v>103</v>
      </c>
      <c r="G76" s="6" t="s">
        <v>102</v>
      </c>
      <c r="H76" s="5" t="str">
        <f>"000251"</f>
        <v>000251</v>
      </c>
      <c r="I76" s="4">
        <v>43184</v>
      </c>
      <c r="J76" s="5" t="str">
        <f>"000164"</f>
        <v>000164</v>
      </c>
      <c r="K76" s="4">
        <v>43185</v>
      </c>
      <c r="L76" s="5" t="str">
        <f>"000247"</f>
        <v>000247</v>
      </c>
      <c r="M76" s="4">
        <v>43185</v>
      </c>
      <c r="N76" s="5">
        <v>18</v>
      </c>
      <c r="O76" s="5" t="str">
        <f>"007921"</f>
        <v>007921</v>
      </c>
      <c r="P76" s="4">
        <v>43447</v>
      </c>
      <c r="Q76" s="7">
        <v>99.895150000000001</v>
      </c>
      <c r="R76" s="7">
        <v>12.287100000000001</v>
      </c>
      <c r="S76" s="7">
        <v>87.608050000000006</v>
      </c>
      <c r="T76" s="5">
        <v>298</v>
      </c>
      <c r="U76" s="4">
        <v>43454</v>
      </c>
      <c r="V76" s="5">
        <v>9916950205</v>
      </c>
      <c r="W76" s="6" t="s">
        <v>92</v>
      </c>
      <c r="X76" s="5" t="s">
        <v>96</v>
      </c>
      <c r="Y76" s="6" t="s">
        <v>95</v>
      </c>
      <c r="Z76" s="5" t="s">
        <v>88</v>
      </c>
      <c r="AA76" s="6" t="s">
        <v>87</v>
      </c>
      <c r="AB76" s="7">
        <f>Q76/100</f>
        <v>0.99895149999999999</v>
      </c>
      <c r="AD76" s="8"/>
      <c r="AF76" s="8"/>
      <c r="AG76" s="8"/>
    </row>
    <row r="77" spans="1:33" x14ac:dyDescent="0.2">
      <c r="A77" s="12">
        <v>7922</v>
      </c>
      <c r="B77" s="13" t="s">
        <v>36</v>
      </c>
      <c r="C77" s="13">
        <v>43454</v>
      </c>
      <c r="D77" s="5">
        <v>141</v>
      </c>
      <c r="E77" s="6" t="s">
        <v>99</v>
      </c>
      <c r="F77" s="5" t="s">
        <v>101</v>
      </c>
      <c r="G77" s="6" t="s">
        <v>100</v>
      </c>
      <c r="H77" s="5" t="str">
        <f>"000255"</f>
        <v>000255</v>
      </c>
      <c r="I77" s="4">
        <v>43184</v>
      </c>
      <c r="J77" s="5" t="str">
        <f>"000165"</f>
        <v>000165</v>
      </c>
      <c r="K77" s="4">
        <v>43185</v>
      </c>
      <c r="L77" s="5" t="str">
        <f>"000248"</f>
        <v>000248</v>
      </c>
      <c r="M77" s="4">
        <v>43185</v>
      </c>
      <c r="N77" s="5">
        <v>18</v>
      </c>
      <c r="O77" s="5" t="str">
        <f>"007922"</f>
        <v>007922</v>
      </c>
      <c r="P77" s="4">
        <v>43447</v>
      </c>
      <c r="Q77" s="7">
        <v>95.764650000000003</v>
      </c>
      <c r="R77" s="7">
        <v>11.77905</v>
      </c>
      <c r="S77" s="7">
        <v>83.985600000000005</v>
      </c>
      <c r="T77" s="5">
        <v>298</v>
      </c>
      <c r="U77" s="4">
        <v>43454</v>
      </c>
      <c r="V77" s="5">
        <v>9916950205</v>
      </c>
      <c r="W77" s="6" t="s">
        <v>86</v>
      </c>
      <c r="X77" s="5" t="s">
        <v>96</v>
      </c>
      <c r="Y77" s="6" t="s">
        <v>95</v>
      </c>
      <c r="Z77" s="5" t="s">
        <v>88</v>
      </c>
      <c r="AA77" s="6" t="s">
        <v>87</v>
      </c>
      <c r="AB77" s="7">
        <f>Q77/100</f>
        <v>0.95764650000000007</v>
      </c>
      <c r="AD77" s="8"/>
      <c r="AF77" s="8"/>
      <c r="AG77" s="8"/>
    </row>
    <row r="78" spans="1:33" x14ac:dyDescent="0.2">
      <c r="A78" s="12">
        <v>7923</v>
      </c>
      <c r="B78" s="13" t="s">
        <v>36</v>
      </c>
      <c r="C78" s="13">
        <v>43454</v>
      </c>
      <c r="D78" s="5">
        <v>141</v>
      </c>
      <c r="E78" s="6" t="s">
        <v>99</v>
      </c>
      <c r="F78" s="5" t="s">
        <v>98</v>
      </c>
      <c r="G78" s="6" t="s">
        <v>97</v>
      </c>
      <c r="H78" s="5" t="str">
        <f>"000257"</f>
        <v>000257</v>
      </c>
      <c r="I78" s="4">
        <v>43186</v>
      </c>
      <c r="J78" s="5" t="str">
        <f>"000168"</f>
        <v>000168</v>
      </c>
      <c r="K78" s="4">
        <v>43186</v>
      </c>
      <c r="L78" s="5" t="str">
        <f>"000249"</f>
        <v>000249</v>
      </c>
      <c r="M78" s="4">
        <v>43186</v>
      </c>
      <c r="N78" s="5">
        <v>18</v>
      </c>
      <c r="O78" s="5" t="str">
        <f>"007925"</f>
        <v>007925</v>
      </c>
      <c r="P78" s="4">
        <v>43447</v>
      </c>
      <c r="Q78" s="7">
        <v>66.595240000000004</v>
      </c>
      <c r="R78" s="7">
        <v>8.1912099999999999</v>
      </c>
      <c r="S78" s="7">
        <v>58.404029999999999</v>
      </c>
      <c r="T78" s="5">
        <v>298</v>
      </c>
      <c r="U78" s="4">
        <v>43454</v>
      </c>
      <c r="V78" s="5">
        <v>9916950205</v>
      </c>
      <c r="W78" s="6" t="s">
        <v>42</v>
      </c>
      <c r="X78" s="5" t="s">
        <v>96</v>
      </c>
      <c r="Y78" s="6" t="s">
        <v>95</v>
      </c>
      <c r="Z78" s="5" t="s">
        <v>88</v>
      </c>
      <c r="AA78" s="6" t="s">
        <v>87</v>
      </c>
      <c r="AB78" s="7">
        <f>Q78/100</f>
        <v>0.6659524</v>
      </c>
      <c r="AD78" s="8"/>
      <c r="AF78" s="8"/>
      <c r="AG7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2019-01-17T09:12:46Z</dcterms:modified>
</cp:coreProperties>
</file>