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9" i="1" l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<sst xmlns="http://schemas.openxmlformats.org/spreadsheetml/2006/main" count="371" uniqueCount="168">
  <si>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</si>
  <si>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</si>
  <si>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</si>
  <si>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</si>
  <si>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</si>
  <si>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</si>
  <si>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</si>
  <si>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</si>
  <si>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</si>
  <si>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</si>
  <si>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</si>
  <si>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</si>
  <si>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</si>
  <si>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</si>
  <si>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</si>
  <si>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</si>
  <si>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</si>
  <si>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</si>
  <si>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</si>
  <si>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</si>
  <si>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</si>
  <si>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</si>
  <si>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</si>
  <si>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</si>
  <si>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</si>
  <si>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</si>
  <si>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</si>
  <si>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</si>
  <si>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</si>
  <si>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</si>
  <si>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</si>
  <si>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</si>
  <si>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</si>
  <si>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</si>
  <si>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</si>
  <si>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</si>
  <si>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P3110</t>
  </si>
  <si>
    <t>14th Finance Commission Grant Works</t>
  </si>
  <si>
    <t>18per - Works (Bhagyajyothi, Sooru / Neeru Yojane and General) (54 Lakhs / New Wards)</t>
  </si>
  <si>
    <t>P1878</t>
  </si>
  <si>
    <t>KRIDL</t>
  </si>
  <si>
    <t>Water Supply New Areas</t>
  </si>
  <si>
    <t>P1802</t>
  </si>
  <si>
    <t>June</t>
  </si>
  <si>
    <t>P2178</t>
  </si>
  <si>
    <t>Works sanctioned by Dy. Mayor</t>
  </si>
  <si>
    <t>P0190</t>
  </si>
  <si>
    <t>Works sanctioned by Hon Mayor</t>
  </si>
  <si>
    <t>P2434</t>
  </si>
  <si>
    <t>Development works for Bangalore City</t>
  </si>
  <si>
    <t>P2415</t>
  </si>
  <si>
    <t>Reserve fund for TandF Committee</t>
  </si>
  <si>
    <t>ddo258</t>
  </si>
  <si>
    <t xml:space="preserve"> Executive Engineer Electrical South Zone</t>
  </si>
  <si>
    <t>ddo422</t>
  </si>
  <si>
    <t xml:space="preserve"> Executive Engineer Project - South Zone</t>
  </si>
  <si>
    <t>Sampanna Satish</t>
  </si>
  <si>
    <t>M/S Sri Chamundeshwari Electricals</t>
  </si>
  <si>
    <t>ddo271</t>
  </si>
  <si>
    <t xml:space="preserve"> Assistant Executive Engineer Jayanagar South Zone</t>
  </si>
  <si>
    <t>B.H. REVANIPRASAD</t>
  </si>
  <si>
    <t>Byrasandra</t>
  </si>
  <si>
    <t>169-17-000046</t>
  </si>
  <si>
    <t>Providing CC Camera at Garbage Block Spots in ward no169</t>
  </si>
  <si>
    <t>M/S Sri Chamundeshwari Electricals (Muniraju.H.C)</t>
  </si>
  <si>
    <t>169-12-000055</t>
  </si>
  <si>
    <t>C H S Byrasandra 8th main road Byrasandra 1st block Jayanagar</t>
  </si>
  <si>
    <t>M.Manjunath</t>
  </si>
  <si>
    <t>169-17-000013</t>
  </si>
  <si>
    <t>Filling of Potholes and Road cuttings in Ward No169 Byrasandra</t>
  </si>
  <si>
    <t>169-15-000011</t>
  </si>
  <si>
    <t xml:space="preserve">Maintainance of Community Hall Building at 2nd cross LIC Colony Jayanagar 3rd block East in ward No 169 </t>
  </si>
  <si>
    <t>Rajarajeshwari Construction (B D Devaraja)</t>
  </si>
  <si>
    <t>169-16-000011</t>
  </si>
  <si>
    <t>Improvements to childrens Play Ground at 4th Main Byrasandra in ward No.169 Byrasandra</t>
  </si>
  <si>
    <t>M.Channabasavanna</t>
  </si>
  <si>
    <t>169-15-000003</t>
  </si>
  <si>
    <t xml:space="preserve">Maintainance of Roads drains Footpath and Removal of debris in Ward No 169 Byrasandra </t>
  </si>
  <si>
    <t>Sri Rajarajeshwari Construction (B D Devaraja)</t>
  </si>
  <si>
    <t>169-15-000031</t>
  </si>
  <si>
    <t>Providing Balance Sanitary lines and water supply at Nakkalbande slum and AK Colony in ward no 169</t>
  </si>
  <si>
    <t>169-17-000005</t>
  </si>
  <si>
    <t>Providing Street light fittings, Timer switches, park lights, etc in ward no 169</t>
  </si>
  <si>
    <t>169-16-000004</t>
  </si>
  <si>
    <t>Providing and Installation of CCTV to roads in ward No.169 Byrasandra under Emergency grants</t>
  </si>
  <si>
    <t xml:space="preserve">Sri Chamundeshwari Electricals </t>
  </si>
  <si>
    <t>169-12-000028</t>
  </si>
  <si>
    <t>Providing Street Name Boards Sign Board in Ward No 169</t>
  </si>
  <si>
    <t>M JAYANTH</t>
  </si>
  <si>
    <t>169-15-000022</t>
  </si>
  <si>
    <t>Concreting to Roads at Muslim Colony in Ward No: 169 Byrasandra</t>
  </si>
  <si>
    <t>169-15-000023</t>
  </si>
  <si>
    <t>Balance Developmental Works at kittur Rani Chennamma Stadium in Ward No 169 Byrasandra</t>
  </si>
  <si>
    <t>Sree Rajarajeswari Construction</t>
  </si>
  <si>
    <t>169-14-000016</t>
  </si>
  <si>
    <t>Asphalting to Bad Reaches in Ward 169 Byrasandra</t>
  </si>
  <si>
    <t>N G Ganesh Babu</t>
  </si>
  <si>
    <t>169-14-000036</t>
  </si>
  <si>
    <t>Asphalting to balanace Portion (Bad reaches) in ward No.169</t>
  </si>
  <si>
    <t>169-15-000024</t>
  </si>
  <si>
    <t>Asphalting to Roads at Byrasandra Village Surrounding areas and official colony in Ward No: 169 Byrasandra</t>
  </si>
  <si>
    <t>169-15-000021</t>
  </si>
  <si>
    <t xml:space="preserve">Asphalting to Bad Roads in Jayanagar 1st and 3rd Block East and Swimming Pool Extension areas in Ward No: 169 Byrasandra </t>
  </si>
  <si>
    <t>169-13-000035</t>
  </si>
  <si>
    <t xml:space="preserve">Construction of Drain and Providing UGD Line at BDA Layout Paralall to1st A Cross NIMANS Compound Kaveramma Slum Byrasandra in Ward No 169 </t>
  </si>
  <si>
    <t>M Jayanath</t>
  </si>
  <si>
    <t>314-12-000064</t>
  </si>
  <si>
    <t>Annual Street light maintenance at ward no 169 Package-S20</t>
  </si>
  <si>
    <t>M/s.Sri Chamundeshwari Electricals</t>
  </si>
  <si>
    <t>169-16-000001</t>
  </si>
  <si>
    <t>Operation and Maintenance of Street Lighting System in Ward No.169 Package S-12 of South Zone</t>
  </si>
  <si>
    <t>169-17-000020</t>
  </si>
  <si>
    <t>Providing elecrical wiring and electrical fittings in LIC Colony Office in ward 169 byrasandra</t>
  </si>
  <si>
    <t>M/s. Muniraju.H.C. (Sri Chamundeshwari Electricals)</t>
  </si>
  <si>
    <t>169-17-000001</t>
  </si>
  <si>
    <t>Improvements to Byrasandra park in ward no 169</t>
  </si>
  <si>
    <t>17-18</t>
  </si>
  <si>
    <t>Technical manager, KRIDL</t>
  </si>
  <si>
    <t>169-18-000044</t>
  </si>
  <si>
    <t>Improvements to road side drian at Bhovi colony and Byrasandra Village and Concreting of balance roads in Bhovi Colony in ward no 169</t>
  </si>
  <si>
    <t>Technical Managar (West)</t>
  </si>
  <si>
    <t>169-17-000034</t>
  </si>
  <si>
    <t>Toilet Buidling Repairs, and Shelter for Mid day meals to PK-s at Health Ward Office at 3rd cross LIC Colony in ward no 169 Byrasandra</t>
  </si>
  <si>
    <t>C H Narayana Swamy</t>
  </si>
  <si>
    <t>P3174</t>
  </si>
  <si>
    <t>Special development works in ward No. 188, 141, 169, 82, 58,  (Rs.300 lakhs each ward)</t>
  </si>
  <si>
    <t>169-17-000033</t>
  </si>
  <si>
    <t>Providing new borewell including waterline in ward no 169 Byrasandra</t>
  </si>
  <si>
    <t>D G Jagadeesh</t>
  </si>
  <si>
    <t>169-17-000016</t>
  </si>
  <si>
    <t>Concreting of roads to Masjid main road at muslim colony in Ward No169 Byrasandra</t>
  </si>
  <si>
    <t>169-17-000024</t>
  </si>
  <si>
    <t>Concreting to road cuttings in byrasandra in Ward No 169</t>
  </si>
  <si>
    <t>169-17-000031</t>
  </si>
  <si>
    <t>Construction of Volley ball court stage building in BBMP Kittur Rani Chennamma Stadium in ward no 169</t>
  </si>
  <si>
    <t>D.G.Jagadish</t>
  </si>
  <si>
    <t>P1646</t>
  </si>
  <si>
    <t>Development of Kitturu Rani Chennamma Stadium in Ward 60</t>
  </si>
  <si>
    <t>October</t>
  </si>
  <si>
    <t>169-15-000020</t>
  </si>
  <si>
    <t>Providing Concreteing to Sanitary lines, in Nakkalubande slum in Ward No 169 Byrasandra</t>
  </si>
  <si>
    <t>169-15-000010</t>
  </si>
  <si>
    <t xml:space="preserve">Improvements of Roadside drain and Concreting of roads at Nakkalubande Slum in ward No 169  Byrasandra  </t>
  </si>
  <si>
    <t>169-15-000002</t>
  </si>
  <si>
    <t xml:space="preserve">Emergency works in ward No 169 Byrasandra  </t>
  </si>
  <si>
    <t>Sri Raja Rajeshwari Construction (B D Devaraja)</t>
  </si>
  <si>
    <t>169-15-000019</t>
  </si>
  <si>
    <t xml:space="preserve">Improvements of Road Side drains to 6th Cross Official Colony in ward No.169 Byrasandra  </t>
  </si>
  <si>
    <t>169-17-000045</t>
  </si>
  <si>
    <t>Engagement of Gangman and Hiring of Troctor Tippers for cleaning and  maintenance of road side drains and other civil works in ward 169</t>
  </si>
  <si>
    <t>Yankanagowda Naganoor</t>
  </si>
  <si>
    <t>169-18-000045</t>
  </si>
  <si>
    <t>Constuction of Traning center building in Nakkal Bande Slum in ward no 169</t>
  </si>
  <si>
    <t>Technical managar (west)</t>
  </si>
  <si>
    <t>November</t>
  </si>
  <si>
    <t>169-17-000007</t>
  </si>
  <si>
    <t>Construction of Toilet block building behind gym building and providing roof covering to the gallery near basket ball Couort at Kitturu Rani Chennamma Stadium in ward no 169</t>
  </si>
  <si>
    <t>G&gt;N&gt;Prasanna</t>
  </si>
  <si>
    <t>169-17-000006</t>
  </si>
  <si>
    <t>Construction of Children toilet building near skating track and other developments at Kittur Rani Chennamma Stadium in ward no 169 Byrasandra</t>
  </si>
  <si>
    <t>D.G. Jagadish</t>
  </si>
  <si>
    <t>169-15-000005</t>
  </si>
  <si>
    <t xml:space="preserve">Improvements of Road side drains from 2nd cross to 9th cross  at Byrasandra  Missing Portions in ward No 169  Byrasandra  </t>
  </si>
  <si>
    <t>C N Visweswaraiah</t>
  </si>
  <si>
    <t>169-16-000020</t>
  </si>
  <si>
    <t>Providing and fixing senior citizen gym Equipments in Byrasandra  ward no 169</t>
  </si>
  <si>
    <t>P0088</t>
  </si>
  <si>
    <t>Maintenance and Management of Parks on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</si>
</sst>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tabSelected="1" workbookViewId="0">
      <selection activeCell="D1" sqref="D1"/>
    </sheetView>
  </sheetViews>
  <sheetFormatPr defaultRowHeight="12.75" x14ac:dyDescent="0.2"/>
  <cols>
    <col min="1" max="1" width="5.42578125" style="8" bestFit="1" customWidth="1"/>
    <col min="2" max="2" width="9.140625" style="8"/>
    <col min="3" max="3" width="9.5703125" style="8" bestFit="1" customWidth="1"/>
    <col min="4" max="4" width="9.140625" style="8"/>
    <col min="5" max="5" width="10.85546875" style="9" bestFit="1" customWidth="1"/>
    <col min="6" max="6" width="13.28515625" style="9" bestFit="1" customWidth="1"/>
    <col min="7" max="8" width="9.140625" style="9"/>
    <col min="9" max="9" width="9.140625" style="8"/>
    <col min="10" max="10" width="9.140625" style="7"/>
    <col min="11" max="20" width="9.140625" style="8"/>
    <col min="21" max="23" width="9.140625" style="10"/>
    <col min="24" max="26" width="9.140625" style="8"/>
    <col min="27" max="27" width="9.140625" style="7"/>
    <col min="28" max="28" width="9.140625" style="8"/>
    <col min="29" max="29" width="9.140625" style="7"/>
    <col min="30" max="30" width="9.140625" style="8"/>
    <col min="31" max="31" width="9.140625" style="7"/>
    <col min="32" max="33" width="9.140625" style="8"/>
    <col min="34" max="16384" width="9.140625" style="7"/>
  </cols>
  <sheetData>
    <row r="1" spans="1:33" ht="19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  <c r="AD1" s="7"/>
      <c r="AF1" s="7"/>
      <c r="AG1" s="7"/>
    </row>
    <row r="2" spans="1:33" x14ac:dyDescent="0.2">
      <c r="A2" s="11">
        <v>448</v>
      </c>
      <c r="B2" s="12" t="s">
        <v>28</v>
      </c>
      <c r="C2" s="12">
        <v>43200</v>
      </c>
      <c r="D2" s="4">
        <v>169</v>
      </c>
      <c r="E2" s="5" t="s">
        <v>61</v>
      </c>
      <c r="F2" s="4" t="s">
        <v>62</v>
      </c>
      <c r="G2" s="5" t="s">
        <v>63</v>
      </c>
      <c r="H2" s="4" t="str">
        <f>"000180"</f>
        <v>000180</v>
      </c>
      <c r="I2" s="3">
        <v>43167</v>
      </c>
      <c r="J2" s="4" t="str">
        <f>"000116"</f>
        <v>000116</v>
      </c>
      <c r="K2" s="3">
        <v>43167</v>
      </c>
      <c r="L2" s="4" t="str">
        <f>"000114"</f>
        <v>000114</v>
      </c>
      <c r="M2" s="3">
        <v>43167</v>
      </c>
      <c r="N2" s="4">
        <v>17</v>
      </c>
      <c r="O2" s="4" t="str">
        <f>"000436"</f>
        <v>000436</v>
      </c>
      <c r="P2" s="3">
        <v>43199</v>
      </c>
      <c r="Q2" s="6">
        <v>7.5258900000000004</v>
      </c>
      <c r="R2" s="6">
        <v>0.23330999999999999</v>
      </c>
      <c r="S2" s="6">
        <v>7.2925800000000001</v>
      </c>
      <c r="T2" s="4">
        <v>13</v>
      </c>
      <c r="U2" s="3">
        <v>43200</v>
      </c>
      <c r="V2" s="4">
        <v>0</v>
      </c>
      <c r="W2" s="5" t="s">
        <v>64</v>
      </c>
      <c r="X2" s="4" t="s">
        <v>36</v>
      </c>
      <c r="Y2" s="5" t="s">
        <v>37</v>
      </c>
      <c r="Z2" s="4" t="s">
        <v>52</v>
      </c>
      <c r="AA2" s="5" t="s">
        <v>53</v>
      </c>
      <c r="AB2" s="6">
        <v>7.5258900000000004E-2</v>
      </c>
      <c r="AD2" s="7"/>
      <c r="AF2" s="7"/>
      <c r="AG2" s="7"/>
    </row>
    <row r="3" spans="1:33" x14ac:dyDescent="0.2">
      <c r="A3" s="11">
        <v>846</v>
      </c>
      <c r="B3" s="12" t="s">
        <v>35</v>
      </c>
      <c r="C3" s="12">
        <v>43225</v>
      </c>
      <c r="D3" s="4">
        <v>169</v>
      </c>
      <c r="E3" s="5" t="s">
        <v>61</v>
      </c>
      <c r="F3" s="4" t="s">
        <v>65</v>
      </c>
      <c r="G3" s="5" t="s">
        <v>66</v>
      </c>
      <c r="H3" s="4" t="str">
        <f>"000050"</f>
        <v>000050</v>
      </c>
      <c r="I3" s="3">
        <v>42591</v>
      </c>
      <c r="J3" s="4" t="str">
        <f>"127"</f>
        <v>127</v>
      </c>
      <c r="K3" s="3">
        <v>16</v>
      </c>
      <c r="L3" s="4" t="str">
        <f>"674"</f>
        <v>674</v>
      </c>
      <c r="M3" s="3">
        <v>16</v>
      </c>
      <c r="N3" s="4">
        <v>12</v>
      </c>
      <c r="O3" s="4" t="str">
        <f>"001036"</f>
        <v>001036</v>
      </c>
      <c r="P3" s="3">
        <v>43223</v>
      </c>
      <c r="Q3" s="6">
        <v>17.719149999999999</v>
      </c>
      <c r="R3" s="6">
        <v>2.0896400000000002</v>
      </c>
      <c r="S3" s="6">
        <v>15.62951</v>
      </c>
      <c r="T3" s="4">
        <v>38</v>
      </c>
      <c r="U3" s="3">
        <v>43225</v>
      </c>
      <c r="V3" s="4">
        <v>9448048401</v>
      </c>
      <c r="W3" s="5" t="s">
        <v>67</v>
      </c>
      <c r="X3" s="4" t="s">
        <v>44</v>
      </c>
      <c r="Y3" s="5" t="s">
        <v>45</v>
      </c>
      <c r="Z3" s="4" t="s">
        <v>54</v>
      </c>
      <c r="AA3" s="5" t="s">
        <v>55</v>
      </c>
      <c r="AB3" s="6">
        <v>0.1771915</v>
      </c>
      <c r="AD3" s="7"/>
      <c r="AF3" s="7"/>
      <c r="AG3" s="7"/>
    </row>
    <row r="4" spans="1:33" x14ac:dyDescent="0.2">
      <c r="A4" s="11">
        <v>847</v>
      </c>
      <c r="B4" s="12" t="s">
        <v>35</v>
      </c>
      <c r="C4" s="12">
        <v>43225</v>
      </c>
      <c r="D4" s="4">
        <v>169</v>
      </c>
      <c r="E4" s="5" t="s">
        <v>61</v>
      </c>
      <c r="F4" s="4" t="s">
        <v>68</v>
      </c>
      <c r="G4" s="5" t="s">
        <v>69</v>
      </c>
      <c r="H4" s="4" t="str">
        <f>"000073"</f>
        <v>000073</v>
      </c>
      <c r="I4" s="3">
        <v>43129</v>
      </c>
      <c r="J4" s="4" t="str">
        <f>"000066"</f>
        <v>000066</v>
      </c>
      <c r="K4" s="3">
        <v>43176</v>
      </c>
      <c r="L4" s="4" t="str">
        <f>"000094"</f>
        <v>000094</v>
      </c>
      <c r="M4" s="3">
        <v>43187</v>
      </c>
      <c r="N4" s="4">
        <v>17</v>
      </c>
      <c r="O4" s="4" t="str">
        <f>"001003"</f>
        <v>001003</v>
      </c>
      <c r="P4" s="3">
        <v>43223</v>
      </c>
      <c r="Q4" s="6">
        <v>9.9893400000000003</v>
      </c>
      <c r="R4" s="6">
        <v>0.91983999999999999</v>
      </c>
      <c r="S4" s="6">
        <v>9.0694999999999997</v>
      </c>
      <c r="T4" s="4">
        <v>39</v>
      </c>
      <c r="U4" s="3">
        <v>43225</v>
      </c>
      <c r="V4" s="4">
        <v>9448074653</v>
      </c>
      <c r="W4" s="5" t="s">
        <v>60</v>
      </c>
      <c r="X4" s="4" t="s">
        <v>30</v>
      </c>
      <c r="Y4" s="5" t="s">
        <v>31</v>
      </c>
      <c r="Z4" s="4" t="s">
        <v>58</v>
      </c>
      <c r="AA4" s="5" t="s">
        <v>59</v>
      </c>
      <c r="AB4" s="6">
        <v>9.9893400000000007E-2</v>
      </c>
      <c r="AD4" s="7"/>
      <c r="AF4" s="7"/>
      <c r="AG4" s="7"/>
    </row>
    <row r="5" spans="1:33" x14ac:dyDescent="0.2">
      <c r="A5" s="11">
        <v>1456</v>
      </c>
      <c r="B5" s="12" t="s">
        <v>35</v>
      </c>
      <c r="C5" s="12">
        <v>43242</v>
      </c>
      <c r="D5" s="4">
        <v>169</v>
      </c>
      <c r="E5" s="5" t="s">
        <v>61</v>
      </c>
      <c r="F5" s="4" t="s">
        <v>70</v>
      </c>
      <c r="G5" s="5" t="s">
        <v>71</v>
      </c>
      <c r="H5" s="4" t="str">
        <f>"000207"</f>
        <v>000207</v>
      </c>
      <c r="I5" s="3">
        <v>42073</v>
      </c>
      <c r="J5" s="4" t="str">
        <f>"000091"</f>
        <v>000091</v>
      </c>
      <c r="K5" s="3">
        <v>42625</v>
      </c>
      <c r="L5" s="4" t="str">
        <f>"000543"</f>
        <v>000543</v>
      </c>
      <c r="M5" s="3">
        <v>42824</v>
      </c>
      <c r="N5" s="4">
        <v>15</v>
      </c>
      <c r="O5" s="4" t="str">
        <f>"001682"</f>
        <v>001682</v>
      </c>
      <c r="P5" s="3">
        <v>43241</v>
      </c>
      <c r="Q5" s="6">
        <v>4.9289399999999999</v>
      </c>
      <c r="R5" s="6">
        <v>0.65449000000000002</v>
      </c>
      <c r="S5" s="6">
        <v>4.2744499999999999</v>
      </c>
      <c r="T5" s="4">
        <v>58</v>
      </c>
      <c r="U5" s="3">
        <v>43242</v>
      </c>
      <c r="V5" s="4">
        <v>8965458745</v>
      </c>
      <c r="W5" s="5" t="s">
        <v>72</v>
      </c>
      <c r="X5" s="4" t="s">
        <v>30</v>
      </c>
      <c r="Y5" s="5" t="s">
        <v>31</v>
      </c>
      <c r="Z5" s="4" t="s">
        <v>58</v>
      </c>
      <c r="AA5" s="5" t="s">
        <v>59</v>
      </c>
      <c r="AB5" s="6">
        <v>4.9289399999999997E-2</v>
      </c>
      <c r="AD5" s="7"/>
      <c r="AF5" s="7"/>
      <c r="AG5" s="7"/>
    </row>
    <row r="6" spans="1:33" x14ac:dyDescent="0.2">
      <c r="A6" s="11">
        <v>1457</v>
      </c>
      <c r="B6" s="12" t="s">
        <v>35</v>
      </c>
      <c r="C6" s="12">
        <v>43242</v>
      </c>
      <c r="D6" s="4">
        <v>169</v>
      </c>
      <c r="E6" s="5" t="s">
        <v>61</v>
      </c>
      <c r="F6" s="4" t="s">
        <v>73</v>
      </c>
      <c r="G6" s="5" t="s">
        <v>74</v>
      </c>
      <c r="H6" s="4" t="str">
        <f>"000062"</f>
        <v>000062</v>
      </c>
      <c r="I6" s="3">
        <v>42600</v>
      </c>
      <c r="J6" s="4" t="str">
        <f>"128"</f>
        <v>128</v>
      </c>
      <c r="K6" s="3">
        <v>16</v>
      </c>
      <c r="L6" s="4" t="str">
        <f>"673"</f>
        <v>673</v>
      </c>
      <c r="M6" s="3">
        <v>16</v>
      </c>
      <c r="N6" s="4">
        <v>16</v>
      </c>
      <c r="O6" s="4" t="str">
        <f>"001563"</f>
        <v>001563</v>
      </c>
      <c r="P6" s="3">
        <v>43238</v>
      </c>
      <c r="Q6" s="6">
        <v>5.0929500000000001</v>
      </c>
      <c r="R6" s="6">
        <v>0.57438999999999996</v>
      </c>
      <c r="S6" s="6">
        <v>4.5185599999999999</v>
      </c>
      <c r="T6" s="4">
        <v>59</v>
      </c>
      <c r="U6" s="3">
        <v>43242</v>
      </c>
      <c r="V6" s="4">
        <v>9740408436</v>
      </c>
      <c r="W6" s="5" t="s">
        <v>75</v>
      </c>
      <c r="X6" s="4" t="s">
        <v>30</v>
      </c>
      <c r="Y6" s="5" t="s">
        <v>31</v>
      </c>
      <c r="Z6" s="4" t="s">
        <v>54</v>
      </c>
      <c r="AA6" s="5" t="s">
        <v>55</v>
      </c>
      <c r="AB6" s="6">
        <v>5.0929500000000003E-2</v>
      </c>
      <c r="AD6" s="7"/>
      <c r="AF6" s="7"/>
      <c r="AG6" s="7"/>
    </row>
    <row r="7" spans="1:33" x14ac:dyDescent="0.2">
      <c r="A7" s="11">
        <v>1689</v>
      </c>
      <c r="B7" s="12" t="s">
        <v>43</v>
      </c>
      <c r="C7" s="12">
        <v>43252</v>
      </c>
      <c r="D7" s="4">
        <v>169</v>
      </c>
      <c r="E7" s="5" t="s">
        <v>61</v>
      </c>
      <c r="F7" s="4" t="s">
        <v>76</v>
      </c>
      <c r="G7" s="5" t="s">
        <v>77</v>
      </c>
      <c r="H7" s="4" t="str">
        <f>"000 61"</f>
        <v>000 61</v>
      </c>
      <c r="I7" s="3">
        <v>42020</v>
      </c>
      <c r="J7" s="4" t="str">
        <f>"000093"</f>
        <v>000093</v>
      </c>
      <c r="K7" s="3">
        <v>42625</v>
      </c>
      <c r="L7" s="4" t="str">
        <f>"000539"</f>
        <v>000539</v>
      </c>
      <c r="M7" s="3">
        <v>42824</v>
      </c>
      <c r="N7" s="4">
        <v>15</v>
      </c>
      <c r="O7" s="4" t="str">
        <f>"001887"</f>
        <v>001887</v>
      </c>
      <c r="P7" s="3">
        <v>43245</v>
      </c>
      <c r="Q7" s="6">
        <v>14.976979999999999</v>
      </c>
      <c r="R7" s="6">
        <v>1.21312</v>
      </c>
      <c r="S7" s="6">
        <v>13.763859999999999</v>
      </c>
      <c r="T7" s="4">
        <v>65</v>
      </c>
      <c r="U7" s="3">
        <v>43252</v>
      </c>
      <c r="V7" s="4">
        <v>9844246755</v>
      </c>
      <c r="W7" s="5" t="s">
        <v>78</v>
      </c>
      <c r="X7" s="4" t="s">
        <v>30</v>
      </c>
      <c r="Y7" s="5" t="s">
        <v>31</v>
      </c>
      <c r="Z7" s="4" t="s">
        <v>58</v>
      </c>
      <c r="AA7" s="5" t="s">
        <v>59</v>
      </c>
      <c r="AB7" s="6">
        <v>0.14976979999999998</v>
      </c>
      <c r="AD7" s="7"/>
      <c r="AF7" s="7"/>
      <c r="AG7" s="7"/>
    </row>
    <row r="8" spans="1:33" x14ac:dyDescent="0.2">
      <c r="A8" s="11">
        <v>1690</v>
      </c>
      <c r="B8" s="12" t="s">
        <v>43</v>
      </c>
      <c r="C8" s="12">
        <v>43252</v>
      </c>
      <c r="D8" s="4">
        <v>169</v>
      </c>
      <c r="E8" s="5" t="s">
        <v>61</v>
      </c>
      <c r="F8" s="4" t="s">
        <v>79</v>
      </c>
      <c r="G8" s="5" t="s">
        <v>80</v>
      </c>
      <c r="H8" s="4" t="str">
        <f>"000082"</f>
        <v>000082</v>
      </c>
      <c r="I8" s="3">
        <v>42048</v>
      </c>
      <c r="J8" s="4" t="str">
        <f>"000196"</f>
        <v>000196</v>
      </c>
      <c r="K8" s="3">
        <v>42625</v>
      </c>
      <c r="L8" s="4" t="str">
        <f>"000540"</f>
        <v>000540</v>
      </c>
      <c r="M8" s="3">
        <v>42824</v>
      </c>
      <c r="N8" s="4">
        <v>15</v>
      </c>
      <c r="O8" s="4" t="str">
        <f>"001888"</f>
        <v>001888</v>
      </c>
      <c r="P8" s="3">
        <v>43245</v>
      </c>
      <c r="Q8" s="6">
        <v>24.73321</v>
      </c>
      <c r="R8" s="6">
        <v>3.7517999999999998</v>
      </c>
      <c r="S8" s="6">
        <v>20.98141</v>
      </c>
      <c r="T8" s="4">
        <v>65</v>
      </c>
      <c r="U8" s="3">
        <v>43252</v>
      </c>
      <c r="V8" s="4">
        <v>9448021479</v>
      </c>
      <c r="W8" s="5" t="s">
        <v>40</v>
      </c>
      <c r="X8" s="4" t="s">
        <v>42</v>
      </c>
      <c r="Y8" s="5" t="s">
        <v>41</v>
      </c>
      <c r="Z8" s="4" t="s">
        <v>58</v>
      </c>
      <c r="AA8" s="5" t="s">
        <v>59</v>
      </c>
      <c r="AB8" s="6">
        <v>0.2473321</v>
      </c>
      <c r="AD8" s="7"/>
      <c r="AF8" s="7"/>
      <c r="AG8" s="7"/>
    </row>
    <row r="9" spans="1:33" x14ac:dyDescent="0.2">
      <c r="A9" s="11">
        <v>1691</v>
      </c>
      <c r="B9" s="12" t="s">
        <v>43</v>
      </c>
      <c r="C9" s="12">
        <v>43252</v>
      </c>
      <c r="D9" s="4">
        <v>169</v>
      </c>
      <c r="E9" s="5" t="s">
        <v>61</v>
      </c>
      <c r="F9" s="4" t="s">
        <v>81</v>
      </c>
      <c r="G9" s="5" t="s">
        <v>82</v>
      </c>
      <c r="H9" s="4" t="str">
        <f>"000103"</f>
        <v>000103</v>
      </c>
      <c r="I9" s="3">
        <v>42762</v>
      </c>
      <c r="J9" s="4" t="str">
        <f>"000058"</f>
        <v>000058</v>
      </c>
      <c r="K9" s="3">
        <v>42825</v>
      </c>
      <c r="L9" s="4" t="str">
        <f>"000301"</f>
        <v>000301</v>
      </c>
      <c r="M9" s="3">
        <v>42825</v>
      </c>
      <c r="N9" s="4">
        <v>17</v>
      </c>
      <c r="O9" s="4" t="str">
        <f>"001889"</f>
        <v>001889</v>
      </c>
      <c r="P9" s="3">
        <v>43245</v>
      </c>
      <c r="Q9" s="6">
        <v>48.375120000000003</v>
      </c>
      <c r="R9" s="6">
        <v>7.0627599999999999</v>
      </c>
      <c r="S9" s="6">
        <v>41.312359999999998</v>
      </c>
      <c r="T9" s="4">
        <v>65</v>
      </c>
      <c r="U9" s="3">
        <v>43252</v>
      </c>
      <c r="V9" s="4">
        <v>0</v>
      </c>
      <c r="W9" s="5" t="s">
        <v>40</v>
      </c>
      <c r="X9" s="4" t="s">
        <v>46</v>
      </c>
      <c r="Y9" s="5" t="s">
        <v>47</v>
      </c>
      <c r="Z9" s="4" t="s">
        <v>52</v>
      </c>
      <c r="AA9" s="5" t="s">
        <v>53</v>
      </c>
      <c r="AB9" s="6">
        <v>0.48375120000000005</v>
      </c>
      <c r="AD9" s="7"/>
      <c r="AF9" s="7"/>
      <c r="AG9" s="7"/>
    </row>
    <row r="10" spans="1:33" x14ac:dyDescent="0.2">
      <c r="A10" s="11">
        <v>2054</v>
      </c>
      <c r="B10" s="12" t="s">
        <v>43</v>
      </c>
      <c r="C10" s="12">
        <v>43262</v>
      </c>
      <c r="D10" s="4">
        <v>169</v>
      </c>
      <c r="E10" s="5" t="s">
        <v>61</v>
      </c>
      <c r="F10" s="4" t="s">
        <v>83</v>
      </c>
      <c r="G10" s="5" t="s">
        <v>84</v>
      </c>
      <c r="H10" s="4" t="str">
        <f>"000060"</f>
        <v>000060</v>
      </c>
      <c r="I10" s="3">
        <v>42622</v>
      </c>
      <c r="J10" s="4" t="str">
        <f>"000036"</f>
        <v>000036</v>
      </c>
      <c r="K10" s="3">
        <v>42627</v>
      </c>
      <c r="L10" s="4" t="str">
        <f>"000212"</f>
        <v>000212</v>
      </c>
      <c r="M10" s="3">
        <v>42627</v>
      </c>
      <c r="N10" s="4">
        <v>16</v>
      </c>
      <c r="O10" s="4" t="str">
        <f>"002319"</f>
        <v>002319</v>
      </c>
      <c r="P10" s="3">
        <v>43258</v>
      </c>
      <c r="Q10" s="6">
        <v>8.9764800000000005</v>
      </c>
      <c r="R10" s="6">
        <v>0.63732</v>
      </c>
      <c r="S10" s="6">
        <v>8.3391599999999997</v>
      </c>
      <c r="T10" s="4">
        <v>80</v>
      </c>
      <c r="U10" s="3">
        <v>43262</v>
      </c>
      <c r="V10" s="4">
        <v>9448762931</v>
      </c>
      <c r="W10" s="5" t="s">
        <v>85</v>
      </c>
      <c r="X10" s="4" t="s">
        <v>30</v>
      </c>
      <c r="Y10" s="5" t="s">
        <v>31</v>
      </c>
      <c r="Z10" s="4" t="s">
        <v>52</v>
      </c>
      <c r="AA10" s="5" t="s">
        <v>53</v>
      </c>
      <c r="AB10" s="6">
        <v>8.9764800000000006E-2</v>
      </c>
      <c r="AD10" s="7"/>
      <c r="AF10" s="7"/>
      <c r="AG10" s="7"/>
    </row>
    <row r="11" spans="1:33" x14ac:dyDescent="0.2">
      <c r="A11" s="11">
        <v>2368</v>
      </c>
      <c r="B11" s="12" t="s">
        <v>43</v>
      </c>
      <c r="C11" s="12">
        <v>43269</v>
      </c>
      <c r="D11" s="4">
        <v>169</v>
      </c>
      <c r="E11" s="5" t="s">
        <v>61</v>
      </c>
      <c r="F11" s="4" t="s">
        <v>86</v>
      </c>
      <c r="G11" s="5" t="s">
        <v>87</v>
      </c>
      <c r="H11" s="4" t="str">
        <f>"000048"</f>
        <v>000048</v>
      </c>
      <c r="I11" s="3">
        <v>41103</v>
      </c>
      <c r="J11" s="4" t="str">
        <f>"000101"</f>
        <v>000101</v>
      </c>
      <c r="K11" s="3">
        <v>42613</v>
      </c>
      <c r="L11" s="4" t="str">
        <f>"000298"</f>
        <v>000298</v>
      </c>
      <c r="M11" s="3">
        <v>42635</v>
      </c>
      <c r="N11" s="4">
        <v>12</v>
      </c>
      <c r="O11" s="4" t="str">
        <f>"002552"</f>
        <v>002552</v>
      </c>
      <c r="P11" s="3">
        <v>43265</v>
      </c>
      <c r="Q11" s="6">
        <v>4.9984599999999997</v>
      </c>
      <c r="R11" s="6">
        <v>0.71758</v>
      </c>
      <c r="S11" s="6">
        <v>4.2808799999999998</v>
      </c>
      <c r="T11" s="4">
        <v>90</v>
      </c>
      <c r="U11" s="3">
        <v>43269</v>
      </c>
      <c r="V11" s="4">
        <v>0</v>
      </c>
      <c r="W11" s="5" t="s">
        <v>88</v>
      </c>
      <c r="X11" s="4" t="s">
        <v>30</v>
      </c>
      <c r="Y11" s="5" t="s">
        <v>31</v>
      </c>
      <c r="Z11" s="4" t="s">
        <v>58</v>
      </c>
      <c r="AA11" s="5" t="s">
        <v>59</v>
      </c>
      <c r="AB11" s="6">
        <v>4.9984599999999997E-2</v>
      </c>
      <c r="AD11" s="7"/>
      <c r="AF11" s="7"/>
      <c r="AG11" s="7"/>
    </row>
    <row r="12" spans="1:33" x14ac:dyDescent="0.2">
      <c r="A12" s="11">
        <v>2615</v>
      </c>
      <c r="B12" s="12" t="s">
        <v>43</v>
      </c>
      <c r="C12" s="12">
        <v>43274</v>
      </c>
      <c r="D12" s="4">
        <v>169</v>
      </c>
      <c r="E12" s="5" t="s">
        <v>61</v>
      </c>
      <c r="F12" s="4" t="s">
        <v>89</v>
      </c>
      <c r="G12" s="5" t="s">
        <v>90</v>
      </c>
      <c r="H12" s="4" t="str">
        <f>"000083"</f>
        <v>000083</v>
      </c>
      <c r="I12" s="3">
        <v>42048</v>
      </c>
      <c r="J12" s="4" t="str">
        <f>"000112"</f>
        <v>000112</v>
      </c>
      <c r="K12" s="3">
        <v>42625</v>
      </c>
      <c r="L12" s="4" t="str">
        <f>"000304"</f>
        <v>000304</v>
      </c>
      <c r="M12" s="3">
        <v>42639</v>
      </c>
      <c r="N12" s="4">
        <v>15</v>
      </c>
      <c r="O12" s="4" t="str">
        <f>"002638"</f>
        <v>002638</v>
      </c>
      <c r="P12" s="3">
        <v>43269</v>
      </c>
      <c r="Q12" s="6">
        <v>14.8088</v>
      </c>
      <c r="R12" s="6">
        <v>2.5097999999999998</v>
      </c>
      <c r="S12" s="6">
        <v>12.298999999999999</v>
      </c>
      <c r="T12" s="4">
        <v>99</v>
      </c>
      <c r="U12" s="3">
        <v>43274</v>
      </c>
      <c r="V12" s="4">
        <v>9448021479</v>
      </c>
      <c r="W12" s="5" t="s">
        <v>40</v>
      </c>
      <c r="X12" s="4" t="s">
        <v>50</v>
      </c>
      <c r="Y12" s="5" t="s">
        <v>51</v>
      </c>
      <c r="Z12" s="4" t="s">
        <v>58</v>
      </c>
      <c r="AA12" s="5" t="s">
        <v>59</v>
      </c>
      <c r="AB12" s="6">
        <v>0.148088</v>
      </c>
      <c r="AD12" s="7"/>
      <c r="AF12" s="7"/>
      <c r="AG12" s="7"/>
    </row>
    <row r="13" spans="1:33" x14ac:dyDescent="0.2">
      <c r="A13" s="11">
        <v>2616</v>
      </c>
      <c r="B13" s="12" t="s">
        <v>43</v>
      </c>
      <c r="C13" s="12">
        <v>43274</v>
      </c>
      <c r="D13" s="4">
        <v>169</v>
      </c>
      <c r="E13" s="5" t="s">
        <v>61</v>
      </c>
      <c r="F13" s="4" t="s">
        <v>91</v>
      </c>
      <c r="G13" s="5" t="s">
        <v>92</v>
      </c>
      <c r="H13" s="4" t="str">
        <f>"000092"</f>
        <v>000092</v>
      </c>
      <c r="I13" s="3">
        <v>42297</v>
      </c>
      <c r="J13" s="4" t="str">
        <f>"069"</f>
        <v>069</v>
      </c>
      <c r="K13" s="3">
        <v>16</v>
      </c>
      <c r="L13" s="4" t="str">
        <f>"506"</f>
        <v>506</v>
      </c>
      <c r="M13" s="3">
        <v>16</v>
      </c>
      <c r="N13" s="4">
        <v>15</v>
      </c>
      <c r="O13" s="4" t="str">
        <f>"002855"</f>
        <v>002855</v>
      </c>
      <c r="P13" s="3">
        <v>43273</v>
      </c>
      <c r="Q13" s="6">
        <v>22.206099999999999</v>
      </c>
      <c r="R13" s="6">
        <v>2.8248600000000001</v>
      </c>
      <c r="S13" s="6">
        <v>19.381239999999998</v>
      </c>
      <c r="T13" s="4">
        <v>99</v>
      </c>
      <c r="U13" s="3">
        <v>43274</v>
      </c>
      <c r="V13" s="4">
        <v>8147448595</v>
      </c>
      <c r="W13" s="5" t="s">
        <v>93</v>
      </c>
      <c r="X13" s="4" t="s">
        <v>50</v>
      </c>
      <c r="Y13" s="5" t="s">
        <v>51</v>
      </c>
      <c r="Z13" s="4" t="s">
        <v>54</v>
      </c>
      <c r="AA13" s="5" t="s">
        <v>55</v>
      </c>
      <c r="AB13" s="6">
        <v>0.22206099999999998</v>
      </c>
      <c r="AD13" s="7"/>
      <c r="AF13" s="7"/>
      <c r="AG13" s="7"/>
    </row>
    <row r="14" spans="1:33" x14ac:dyDescent="0.2">
      <c r="A14" s="11">
        <v>2941</v>
      </c>
      <c r="B14" s="12" t="s">
        <v>32</v>
      </c>
      <c r="C14" s="12">
        <v>43283</v>
      </c>
      <c r="D14" s="4">
        <v>169</v>
      </c>
      <c r="E14" s="5" t="s">
        <v>61</v>
      </c>
      <c r="F14" s="4" t="s">
        <v>94</v>
      </c>
      <c r="G14" s="5" t="s">
        <v>95</v>
      </c>
      <c r="H14" s="4" t="str">
        <f>"000212"</f>
        <v>000212</v>
      </c>
      <c r="I14" s="3">
        <v>41660</v>
      </c>
      <c r="J14" s="4" t="str">
        <f>"000079"</f>
        <v>000079</v>
      </c>
      <c r="K14" s="3">
        <v>42572</v>
      </c>
      <c r="L14" s="4" t="str">
        <f>"000206"</f>
        <v>000206</v>
      </c>
      <c r="M14" s="3">
        <v>42580</v>
      </c>
      <c r="N14" s="4">
        <v>14</v>
      </c>
      <c r="O14" s="4" t="str">
        <f>"003132"</f>
        <v>003132</v>
      </c>
      <c r="P14" s="3">
        <v>43280</v>
      </c>
      <c r="Q14" s="6">
        <v>11.72761</v>
      </c>
      <c r="R14" s="6">
        <v>1.6087100000000001</v>
      </c>
      <c r="S14" s="6">
        <v>10.1189</v>
      </c>
      <c r="T14" s="4">
        <v>106</v>
      </c>
      <c r="U14" s="3">
        <v>43283</v>
      </c>
      <c r="V14" s="4">
        <v>9980335777</v>
      </c>
      <c r="W14" s="5" t="s">
        <v>96</v>
      </c>
      <c r="X14" s="4" t="s">
        <v>30</v>
      </c>
      <c r="Y14" s="5" t="s">
        <v>31</v>
      </c>
      <c r="Z14" s="4" t="s">
        <v>58</v>
      </c>
      <c r="AA14" s="5" t="s">
        <v>59</v>
      </c>
      <c r="AB14" s="6">
        <v>0.11727610000000001</v>
      </c>
      <c r="AD14" s="7"/>
      <c r="AF14" s="7"/>
      <c r="AG14" s="7"/>
    </row>
    <row r="15" spans="1:33" x14ac:dyDescent="0.2">
      <c r="A15" s="11">
        <v>3201</v>
      </c>
      <c r="B15" s="12" t="s">
        <v>32</v>
      </c>
      <c r="C15" s="12">
        <v>43290</v>
      </c>
      <c r="D15" s="4">
        <v>169</v>
      </c>
      <c r="E15" s="5" t="s">
        <v>61</v>
      </c>
      <c r="F15" s="4" t="s">
        <v>97</v>
      </c>
      <c r="G15" s="5" t="s">
        <v>98</v>
      </c>
      <c r="H15" s="4" t="str">
        <f>"000026"</f>
        <v>000026</v>
      </c>
      <c r="I15" s="3">
        <v>41893</v>
      </c>
      <c r="J15" s="4" t="str">
        <f>"000222"</f>
        <v>000222</v>
      </c>
      <c r="K15" s="3">
        <v>42721</v>
      </c>
      <c r="L15" s="4" t="str">
        <f>"000437"</f>
        <v>000437</v>
      </c>
      <c r="M15" s="3">
        <v>42727</v>
      </c>
      <c r="N15" s="4">
        <v>14</v>
      </c>
      <c r="O15" s="4" t="str">
        <f>"003394"</f>
        <v>003394</v>
      </c>
      <c r="P15" s="3">
        <v>43288</v>
      </c>
      <c r="Q15" s="6">
        <v>38.288539999999998</v>
      </c>
      <c r="R15" s="6">
        <v>6.0559700000000003</v>
      </c>
      <c r="S15" s="6">
        <v>32.232570000000003</v>
      </c>
      <c r="T15" s="4">
        <v>117</v>
      </c>
      <c r="U15" s="3">
        <v>43290</v>
      </c>
      <c r="V15" s="4">
        <v>9448021479</v>
      </c>
      <c r="W15" s="5" t="s">
        <v>40</v>
      </c>
      <c r="X15" s="4" t="s">
        <v>48</v>
      </c>
      <c r="Y15" s="5" t="s">
        <v>49</v>
      </c>
      <c r="Z15" s="4" t="s">
        <v>58</v>
      </c>
      <c r="AA15" s="5" t="s">
        <v>59</v>
      </c>
      <c r="AB15" s="6">
        <v>0.38288539999999999</v>
      </c>
      <c r="AD15" s="7"/>
      <c r="AF15" s="7"/>
      <c r="AG15" s="7"/>
    </row>
    <row r="16" spans="1:33" x14ac:dyDescent="0.2">
      <c r="A16" s="11">
        <v>3202</v>
      </c>
      <c r="B16" s="12" t="s">
        <v>32</v>
      </c>
      <c r="C16" s="12">
        <v>43290</v>
      </c>
      <c r="D16" s="4">
        <v>169</v>
      </c>
      <c r="E16" s="5" t="s">
        <v>61</v>
      </c>
      <c r="F16" s="4" t="s">
        <v>99</v>
      </c>
      <c r="G16" s="5" t="s">
        <v>100</v>
      </c>
      <c r="H16" s="4" t="str">
        <f>"000087"</f>
        <v>000087</v>
      </c>
      <c r="I16" s="3">
        <v>42048</v>
      </c>
      <c r="J16" s="4" t="str">
        <f>"000224"</f>
        <v>000224</v>
      </c>
      <c r="K16" s="3">
        <v>42721</v>
      </c>
      <c r="L16" s="4" t="str">
        <f>"000438"</f>
        <v>000438</v>
      </c>
      <c r="M16" s="3">
        <v>42727</v>
      </c>
      <c r="N16" s="4">
        <v>15</v>
      </c>
      <c r="O16" s="4" t="str">
        <f>"003395"</f>
        <v>003395</v>
      </c>
      <c r="P16" s="3">
        <v>43288</v>
      </c>
      <c r="Q16" s="6">
        <v>17.140339999999998</v>
      </c>
      <c r="R16" s="6">
        <v>2.85825</v>
      </c>
      <c r="S16" s="6">
        <v>14.28209</v>
      </c>
      <c r="T16" s="4">
        <v>117</v>
      </c>
      <c r="U16" s="3">
        <v>43290</v>
      </c>
      <c r="V16" s="4">
        <v>9448021479</v>
      </c>
      <c r="W16" s="5" t="s">
        <v>40</v>
      </c>
      <c r="X16" s="4" t="s">
        <v>50</v>
      </c>
      <c r="Y16" s="5" t="s">
        <v>51</v>
      </c>
      <c r="Z16" s="4" t="s">
        <v>58</v>
      </c>
      <c r="AA16" s="5" t="s">
        <v>59</v>
      </c>
      <c r="AB16" s="6">
        <v>0.17140339999999998</v>
      </c>
      <c r="AD16" s="7"/>
      <c r="AF16" s="7"/>
      <c r="AG16" s="7"/>
    </row>
    <row r="17" spans="1:33" x14ac:dyDescent="0.2">
      <c r="A17" s="11">
        <v>3203</v>
      </c>
      <c r="B17" s="12" t="s">
        <v>32</v>
      </c>
      <c r="C17" s="12">
        <v>43290</v>
      </c>
      <c r="D17" s="4">
        <v>169</v>
      </c>
      <c r="E17" s="5" t="s">
        <v>61</v>
      </c>
      <c r="F17" s="4" t="s">
        <v>101</v>
      </c>
      <c r="G17" s="5" t="s">
        <v>102</v>
      </c>
      <c r="H17" s="4" t="str">
        <f>"000086"</f>
        <v>000086</v>
      </c>
      <c r="I17" s="3">
        <v>42048</v>
      </c>
      <c r="J17" s="4" t="str">
        <f>"000223"</f>
        <v>000223</v>
      </c>
      <c r="K17" s="3">
        <v>42721</v>
      </c>
      <c r="L17" s="4" t="str">
        <f>"000439"</f>
        <v>000439</v>
      </c>
      <c r="M17" s="3">
        <v>42727</v>
      </c>
      <c r="N17" s="4">
        <v>15</v>
      </c>
      <c r="O17" s="4" t="str">
        <f>"003396"</f>
        <v>003396</v>
      </c>
      <c r="P17" s="3">
        <v>43288</v>
      </c>
      <c r="Q17" s="6">
        <v>22.826509999999999</v>
      </c>
      <c r="R17" s="6">
        <v>3.75454</v>
      </c>
      <c r="S17" s="6">
        <v>19.07197</v>
      </c>
      <c r="T17" s="4">
        <v>117</v>
      </c>
      <c r="U17" s="3">
        <v>43290</v>
      </c>
      <c r="V17" s="4">
        <v>9448021479</v>
      </c>
      <c r="W17" s="5" t="s">
        <v>40</v>
      </c>
      <c r="X17" s="4" t="s">
        <v>50</v>
      </c>
      <c r="Y17" s="5" t="s">
        <v>51</v>
      </c>
      <c r="Z17" s="4" t="s">
        <v>58</v>
      </c>
      <c r="AA17" s="5" t="s">
        <v>59</v>
      </c>
      <c r="AB17" s="6">
        <v>0.2282651</v>
      </c>
      <c r="AD17" s="7"/>
      <c r="AF17" s="7"/>
      <c r="AG17" s="7"/>
    </row>
    <row r="18" spans="1:33" x14ac:dyDescent="0.2">
      <c r="A18" s="11">
        <v>3347</v>
      </c>
      <c r="B18" s="12" t="s">
        <v>32</v>
      </c>
      <c r="C18" s="12">
        <v>43297</v>
      </c>
      <c r="D18" s="4">
        <v>169</v>
      </c>
      <c r="E18" s="5" t="s">
        <v>61</v>
      </c>
      <c r="F18" s="4" t="s">
        <v>103</v>
      </c>
      <c r="G18" s="5" t="s">
        <v>104</v>
      </c>
      <c r="H18" s="4" t="str">
        <f>"000281"</f>
        <v>000281</v>
      </c>
      <c r="I18" s="3">
        <v>41346</v>
      </c>
      <c r="J18" s="4" t="str">
        <f>"000197"</f>
        <v>000197</v>
      </c>
      <c r="K18" s="3">
        <v>42625</v>
      </c>
      <c r="L18" s="4" t="str">
        <f>"000440"</f>
        <v>000440</v>
      </c>
      <c r="M18" s="3">
        <v>42733</v>
      </c>
      <c r="N18" s="4">
        <v>13</v>
      </c>
      <c r="O18" s="4" t="str">
        <f>"003469"</f>
        <v>003469</v>
      </c>
      <c r="P18" s="3">
        <v>43291</v>
      </c>
      <c r="Q18" s="6">
        <v>17.779499999999999</v>
      </c>
      <c r="R18" s="6">
        <v>2.5080399999999998</v>
      </c>
      <c r="S18" s="6">
        <v>15.271459999999999</v>
      </c>
      <c r="T18" s="4">
        <v>125</v>
      </c>
      <c r="U18" s="3">
        <v>43297</v>
      </c>
      <c r="V18" s="4">
        <v>9964587191</v>
      </c>
      <c r="W18" s="5" t="s">
        <v>105</v>
      </c>
      <c r="X18" s="4" t="s">
        <v>30</v>
      </c>
      <c r="Y18" s="5" t="s">
        <v>31</v>
      </c>
      <c r="Z18" s="4" t="s">
        <v>58</v>
      </c>
      <c r="AA18" s="5" t="s">
        <v>59</v>
      </c>
      <c r="AB18" s="6">
        <v>0.17779499999999998</v>
      </c>
      <c r="AD18" s="7"/>
      <c r="AF18" s="7"/>
      <c r="AG18" s="7"/>
    </row>
    <row r="19" spans="1:33" x14ac:dyDescent="0.2">
      <c r="A19" s="11">
        <v>3608</v>
      </c>
      <c r="B19" s="12" t="s">
        <v>32</v>
      </c>
      <c r="C19" s="12">
        <v>43299</v>
      </c>
      <c r="D19" s="4">
        <v>169</v>
      </c>
      <c r="E19" s="5" t="s">
        <v>61</v>
      </c>
      <c r="F19" s="4" t="s">
        <v>106</v>
      </c>
      <c r="G19" s="5" t="s">
        <v>107</v>
      </c>
      <c r="H19" s="4" t="str">
        <f>"000058"</f>
        <v>000058</v>
      </c>
      <c r="I19" s="3">
        <v>42826</v>
      </c>
      <c r="J19" s="4" t="str">
        <f>"000190"</f>
        <v>000190</v>
      </c>
      <c r="K19" s="3">
        <v>42916</v>
      </c>
      <c r="L19" s="4" t="str">
        <f>"000074"</f>
        <v>000074</v>
      </c>
      <c r="M19" s="3">
        <v>42916</v>
      </c>
      <c r="N19" s="4">
        <v>12</v>
      </c>
      <c r="O19" s="4" t="str">
        <f>"003487"</f>
        <v>003487</v>
      </c>
      <c r="P19" s="3">
        <v>43291</v>
      </c>
      <c r="Q19" s="6">
        <v>0.44750000000000001</v>
      </c>
      <c r="R19" s="6">
        <v>6.3109999999999999E-2</v>
      </c>
      <c r="S19" s="6">
        <v>0.38439000000000001</v>
      </c>
      <c r="T19" s="4">
        <v>127</v>
      </c>
      <c r="U19" s="3">
        <v>43299</v>
      </c>
      <c r="V19" s="4">
        <v>9448762931</v>
      </c>
      <c r="W19" s="5" t="s">
        <v>108</v>
      </c>
      <c r="X19" s="4" t="s">
        <v>33</v>
      </c>
      <c r="Y19" s="5" t="s">
        <v>34</v>
      </c>
      <c r="Z19" s="4" t="s">
        <v>52</v>
      </c>
      <c r="AA19" s="5" t="s">
        <v>53</v>
      </c>
      <c r="AB19" s="6">
        <v>4.4749999999999998E-3</v>
      </c>
      <c r="AD19" s="7"/>
      <c r="AF19" s="7"/>
      <c r="AG19" s="7"/>
    </row>
    <row r="20" spans="1:33" x14ac:dyDescent="0.2">
      <c r="A20" s="11">
        <v>3609</v>
      </c>
      <c r="B20" s="12" t="s">
        <v>32</v>
      </c>
      <c r="C20" s="12">
        <v>43299</v>
      </c>
      <c r="D20" s="4">
        <v>169</v>
      </c>
      <c r="E20" s="5" t="s">
        <v>61</v>
      </c>
      <c r="F20" s="4" t="s">
        <v>109</v>
      </c>
      <c r="G20" s="5" t="s">
        <v>110</v>
      </c>
      <c r="H20" s="4" t="str">
        <f>"000014"</f>
        <v>000014</v>
      </c>
      <c r="I20" s="3">
        <v>42934</v>
      </c>
      <c r="J20" s="4" t="str">
        <f>"000134"</f>
        <v>000134</v>
      </c>
      <c r="K20" s="3">
        <v>43181</v>
      </c>
      <c r="L20" s="4" t="str">
        <f>"000136"</f>
        <v>000136</v>
      </c>
      <c r="M20" s="3">
        <v>43181</v>
      </c>
      <c r="N20" s="4">
        <v>16</v>
      </c>
      <c r="O20" s="4" t="str">
        <f>"004291"</f>
        <v>004291</v>
      </c>
      <c r="P20" s="3">
        <v>43306</v>
      </c>
      <c r="Q20" s="6">
        <v>10.03589</v>
      </c>
      <c r="R20" s="6">
        <v>0.81755999999999995</v>
      </c>
      <c r="S20" s="6">
        <v>9.2183299999999999</v>
      </c>
      <c r="T20" s="4">
        <v>127</v>
      </c>
      <c r="U20" s="3">
        <v>43299</v>
      </c>
      <c r="V20" s="4">
        <v>0</v>
      </c>
      <c r="W20" s="5" t="s">
        <v>57</v>
      </c>
      <c r="X20" s="4" t="s">
        <v>33</v>
      </c>
      <c r="Y20" s="5" t="s">
        <v>34</v>
      </c>
      <c r="Z20" s="4" t="s">
        <v>52</v>
      </c>
      <c r="AA20" s="5" t="s">
        <v>53</v>
      </c>
      <c r="AB20" s="6">
        <v>0.1003589</v>
      </c>
      <c r="AD20" s="7"/>
      <c r="AF20" s="7"/>
      <c r="AG20" s="7"/>
    </row>
    <row r="21" spans="1:33" x14ac:dyDescent="0.2">
      <c r="A21" s="11">
        <v>3610</v>
      </c>
      <c r="B21" s="12" t="s">
        <v>32</v>
      </c>
      <c r="C21" s="12">
        <v>43299</v>
      </c>
      <c r="D21" s="4">
        <v>169</v>
      </c>
      <c r="E21" s="5" t="s">
        <v>61</v>
      </c>
      <c r="F21" s="4" t="s">
        <v>111</v>
      </c>
      <c r="G21" s="5" t="s">
        <v>112</v>
      </c>
      <c r="H21" s="4" t="str">
        <f>"000127"</f>
        <v>000127</v>
      </c>
      <c r="I21" s="3">
        <v>42810</v>
      </c>
      <c r="J21" s="4" t="str">
        <f>"000011"</f>
        <v>000011</v>
      </c>
      <c r="K21" s="3">
        <v>42870</v>
      </c>
      <c r="L21" s="4" t="str">
        <f>"000044"</f>
        <v>000044</v>
      </c>
      <c r="M21" s="3">
        <v>42870</v>
      </c>
      <c r="N21" s="4">
        <v>17</v>
      </c>
      <c r="O21" s="4" t="str">
        <f>"003790"</f>
        <v>003790</v>
      </c>
      <c r="P21" s="3">
        <v>43294</v>
      </c>
      <c r="Q21" s="6">
        <v>7.4336900000000004</v>
      </c>
      <c r="R21" s="6">
        <v>0.52778999999999998</v>
      </c>
      <c r="S21" s="6">
        <v>6.9058999999999999</v>
      </c>
      <c r="T21" s="4">
        <v>129</v>
      </c>
      <c r="U21" s="3">
        <v>43299</v>
      </c>
      <c r="V21" s="4">
        <v>0</v>
      </c>
      <c r="W21" s="5" t="s">
        <v>113</v>
      </c>
      <c r="X21" s="4" t="s">
        <v>30</v>
      </c>
      <c r="Y21" s="5" t="s">
        <v>31</v>
      </c>
      <c r="Z21" s="4" t="s">
        <v>52</v>
      </c>
      <c r="AA21" s="5" t="s">
        <v>53</v>
      </c>
      <c r="AB21" s="6">
        <v>7.4336899999999997E-2</v>
      </c>
      <c r="AD21" s="7"/>
      <c r="AF21" s="7"/>
      <c r="AG21" s="7"/>
    </row>
    <row r="22" spans="1:33" x14ac:dyDescent="0.2">
      <c r="A22" s="11">
        <v>4018</v>
      </c>
      <c r="B22" s="12" t="s">
        <v>32</v>
      </c>
      <c r="C22" s="12">
        <v>43307</v>
      </c>
      <c r="D22" s="4">
        <v>169</v>
      </c>
      <c r="E22" s="5" t="s">
        <v>61</v>
      </c>
      <c r="F22" s="4" t="s">
        <v>114</v>
      </c>
      <c r="G22" s="5" t="s">
        <v>115</v>
      </c>
      <c r="H22" s="4" t="str">
        <f>"000097"</f>
        <v>000097</v>
      </c>
      <c r="I22" s="3">
        <v>42665</v>
      </c>
      <c r="J22" s="4" t="str">
        <f>"010"</f>
        <v>010</v>
      </c>
      <c r="K22" s="3">
        <v>17</v>
      </c>
      <c r="L22" s="4" t="str">
        <f>"024"</f>
        <v>024</v>
      </c>
      <c r="M22" s="3" t="s">
        <v>116</v>
      </c>
      <c r="N22" s="4">
        <v>17</v>
      </c>
      <c r="O22" s="4" t="str">
        <f>"004245"</f>
        <v>004245</v>
      </c>
      <c r="P22" s="3">
        <v>43305</v>
      </c>
      <c r="Q22" s="6">
        <v>48.9313</v>
      </c>
      <c r="R22" s="6">
        <v>7.3245399999999998</v>
      </c>
      <c r="S22" s="6">
        <v>41.606760000000001</v>
      </c>
      <c r="T22" s="4">
        <v>142</v>
      </c>
      <c r="U22" s="3">
        <v>43307</v>
      </c>
      <c r="V22" s="4">
        <v>9845290968</v>
      </c>
      <c r="W22" s="5" t="s">
        <v>117</v>
      </c>
      <c r="X22" s="4" t="s">
        <v>46</v>
      </c>
      <c r="Y22" s="5" t="s">
        <v>47</v>
      </c>
      <c r="Z22" s="4" t="s">
        <v>54</v>
      </c>
      <c r="AA22" s="5" t="s">
        <v>55</v>
      </c>
      <c r="AB22" s="6">
        <v>0.489313</v>
      </c>
      <c r="AD22" s="7"/>
      <c r="AF22" s="7"/>
      <c r="AG22" s="7"/>
    </row>
    <row r="23" spans="1:33" x14ac:dyDescent="0.2">
      <c r="A23" s="11">
        <v>4170</v>
      </c>
      <c r="B23" s="12" t="s">
        <v>32</v>
      </c>
      <c r="C23" s="12">
        <v>43308</v>
      </c>
      <c r="D23" s="4">
        <v>169</v>
      </c>
      <c r="E23" s="5" t="s">
        <v>61</v>
      </c>
      <c r="F23" s="4" t="s">
        <v>109</v>
      </c>
      <c r="G23" s="5" t="s">
        <v>110</v>
      </c>
      <c r="H23" s="4" t="str">
        <f>"000014"</f>
        <v>000014</v>
      </c>
      <c r="I23" s="3">
        <v>42934</v>
      </c>
      <c r="J23" s="4" t="str">
        <f>"000134"</f>
        <v>000134</v>
      </c>
      <c r="K23" s="3">
        <v>43181</v>
      </c>
      <c r="L23" s="4" t="str">
        <f>"000136"</f>
        <v>000136</v>
      </c>
      <c r="M23" s="3">
        <v>43181</v>
      </c>
      <c r="N23" s="4">
        <v>16</v>
      </c>
      <c r="O23" s="4" t="str">
        <f>"004291"</f>
        <v>004291</v>
      </c>
      <c r="P23" s="3">
        <v>43306</v>
      </c>
      <c r="Q23" s="6">
        <v>0.87112000000000001</v>
      </c>
      <c r="R23" s="6">
        <v>7.1840000000000001E-2</v>
      </c>
      <c r="S23" s="6">
        <v>0.79927999999999999</v>
      </c>
      <c r="T23" s="4">
        <v>146</v>
      </c>
      <c r="U23" s="3">
        <v>43308</v>
      </c>
      <c r="V23" s="4">
        <v>0</v>
      </c>
      <c r="W23" s="5" t="s">
        <v>57</v>
      </c>
      <c r="X23" s="4" t="s">
        <v>33</v>
      </c>
      <c r="Y23" s="5" t="s">
        <v>34</v>
      </c>
      <c r="Z23" s="4" t="s">
        <v>52</v>
      </c>
      <c r="AA23" s="5" t="s">
        <v>53</v>
      </c>
      <c r="AB23" s="6">
        <v>8.7112000000000005E-3</v>
      </c>
      <c r="AD23" s="7"/>
      <c r="AF23" s="7"/>
      <c r="AG23" s="7"/>
    </row>
    <row r="24" spans="1:33" x14ac:dyDescent="0.2">
      <c r="A24" s="11">
        <v>4693</v>
      </c>
      <c r="B24" s="12" t="s">
        <v>29</v>
      </c>
      <c r="C24" s="12">
        <v>43325</v>
      </c>
      <c r="D24" s="4">
        <v>169</v>
      </c>
      <c r="E24" s="5" t="s">
        <v>61</v>
      </c>
      <c r="F24" s="4" t="s">
        <v>118</v>
      </c>
      <c r="G24" s="5" t="s">
        <v>119</v>
      </c>
      <c r="H24" s="4" t="str">
        <f>"000095"</f>
        <v>000095</v>
      </c>
      <c r="I24" s="3">
        <v>43175</v>
      </c>
      <c r="J24" s="4" t="str">
        <f>"000016"</f>
        <v>000016</v>
      </c>
      <c r="K24" s="3">
        <v>43266</v>
      </c>
      <c r="L24" s="4" t="str">
        <f>"000036"</f>
        <v>000036</v>
      </c>
      <c r="M24" s="3">
        <v>43278</v>
      </c>
      <c r="N24" s="4">
        <v>18</v>
      </c>
      <c r="O24" s="4" t="str">
        <f>"004064"</f>
        <v>004064</v>
      </c>
      <c r="P24" s="3">
        <v>43301</v>
      </c>
      <c r="Q24" s="6">
        <v>31.161529999999999</v>
      </c>
      <c r="R24" s="6">
        <v>3.4769800000000002</v>
      </c>
      <c r="S24" s="6">
        <v>27.684550000000002</v>
      </c>
      <c r="T24" s="4">
        <v>166</v>
      </c>
      <c r="U24" s="3">
        <v>43325</v>
      </c>
      <c r="V24" s="4">
        <v>9448021479</v>
      </c>
      <c r="W24" s="5" t="s">
        <v>120</v>
      </c>
      <c r="X24" s="4" t="s">
        <v>39</v>
      </c>
      <c r="Y24" s="5" t="s">
        <v>38</v>
      </c>
      <c r="Z24" s="4" t="s">
        <v>58</v>
      </c>
      <c r="AA24" s="5" t="s">
        <v>59</v>
      </c>
      <c r="AB24" s="6">
        <v>0.31161529999999998</v>
      </c>
      <c r="AD24" s="7"/>
      <c r="AF24" s="7"/>
      <c r="AG24" s="7"/>
    </row>
    <row r="25" spans="1:33" x14ac:dyDescent="0.2">
      <c r="A25" s="11">
        <v>4886</v>
      </c>
      <c r="B25" s="12" t="s">
        <v>29</v>
      </c>
      <c r="C25" s="12">
        <v>43326</v>
      </c>
      <c r="D25" s="4">
        <v>169</v>
      </c>
      <c r="E25" s="5" t="s">
        <v>61</v>
      </c>
      <c r="F25" s="4" t="s">
        <v>121</v>
      </c>
      <c r="G25" s="5" t="s">
        <v>122</v>
      </c>
      <c r="H25" s="4" t="str">
        <f>"000124"</f>
        <v>000124</v>
      </c>
      <c r="I25" s="3">
        <v>42893</v>
      </c>
      <c r="J25" s="4" t="str">
        <f>"000004"</f>
        <v>000004</v>
      </c>
      <c r="K25" s="3">
        <v>42971</v>
      </c>
      <c r="L25" s="4" t="str">
        <f>"000017"</f>
        <v>000017</v>
      </c>
      <c r="M25" s="3">
        <v>43024</v>
      </c>
      <c r="N25" s="4">
        <v>17</v>
      </c>
      <c r="O25" s="4" t="str">
        <f>"004976"</f>
        <v>004976</v>
      </c>
      <c r="P25" s="3">
        <v>43320</v>
      </c>
      <c r="Q25" s="6">
        <v>22.651250000000001</v>
      </c>
      <c r="R25" s="6">
        <v>1.0700700000000001</v>
      </c>
      <c r="S25" s="6">
        <v>21.58118</v>
      </c>
      <c r="T25" s="4">
        <v>171</v>
      </c>
      <c r="U25" s="3">
        <v>43326</v>
      </c>
      <c r="V25" s="4">
        <v>8147448595</v>
      </c>
      <c r="W25" s="5" t="s">
        <v>123</v>
      </c>
      <c r="X25" s="4" t="s">
        <v>124</v>
      </c>
      <c r="Y25" s="5" t="s">
        <v>125</v>
      </c>
      <c r="Z25" s="4" t="s">
        <v>58</v>
      </c>
      <c r="AA25" s="5" t="s">
        <v>59</v>
      </c>
      <c r="AB25" s="6">
        <v>0.22651250000000001</v>
      </c>
      <c r="AD25" s="7"/>
      <c r="AF25" s="7"/>
      <c r="AG25" s="7"/>
    </row>
    <row r="26" spans="1:33" x14ac:dyDescent="0.2">
      <c r="A26" s="11">
        <v>4887</v>
      </c>
      <c r="B26" s="12" t="s">
        <v>29</v>
      </c>
      <c r="C26" s="12">
        <v>43326</v>
      </c>
      <c r="D26" s="4">
        <v>169</v>
      </c>
      <c r="E26" s="5" t="s">
        <v>61</v>
      </c>
      <c r="F26" s="4" t="s">
        <v>126</v>
      </c>
      <c r="G26" s="5" t="s">
        <v>127</v>
      </c>
      <c r="H26" s="4" t="str">
        <f>"000003"</f>
        <v>000003</v>
      </c>
      <c r="I26" s="3">
        <v>42942</v>
      </c>
      <c r="J26" s="4" t="str">
        <f>"000012"</f>
        <v>000012</v>
      </c>
      <c r="K26" s="3">
        <v>43005</v>
      </c>
      <c r="L26" s="4" t="str">
        <f>"000022"</f>
        <v>000022</v>
      </c>
      <c r="M26" s="3">
        <v>43025</v>
      </c>
      <c r="N26" s="4">
        <v>17</v>
      </c>
      <c r="O26" s="4" t="str">
        <f>"004984"</f>
        <v>004984</v>
      </c>
      <c r="P26" s="3">
        <v>43320</v>
      </c>
      <c r="Q26" s="6">
        <v>15.07747</v>
      </c>
      <c r="R26" s="6">
        <v>0.61819999999999997</v>
      </c>
      <c r="S26" s="6">
        <v>14.45927</v>
      </c>
      <c r="T26" s="4">
        <v>171</v>
      </c>
      <c r="U26" s="3">
        <v>43326</v>
      </c>
      <c r="V26" s="4">
        <v>9611673328</v>
      </c>
      <c r="W26" s="5" t="s">
        <v>128</v>
      </c>
      <c r="X26" s="4" t="s">
        <v>42</v>
      </c>
      <c r="Y26" s="5" t="s">
        <v>41</v>
      </c>
      <c r="Z26" s="4" t="s">
        <v>58</v>
      </c>
      <c r="AA26" s="5" t="s">
        <v>59</v>
      </c>
      <c r="AB26" s="6">
        <v>0.15077470000000001</v>
      </c>
      <c r="AD26" s="7"/>
      <c r="AF26" s="7"/>
      <c r="AG26" s="7"/>
    </row>
    <row r="27" spans="1:33" x14ac:dyDescent="0.2">
      <c r="A27" s="11">
        <v>4994</v>
      </c>
      <c r="B27" s="12" t="s">
        <v>29</v>
      </c>
      <c r="C27" s="12">
        <v>43330</v>
      </c>
      <c r="D27" s="4">
        <v>169</v>
      </c>
      <c r="E27" s="5" t="s">
        <v>61</v>
      </c>
      <c r="F27" s="4" t="s">
        <v>129</v>
      </c>
      <c r="G27" s="5" t="s">
        <v>130</v>
      </c>
      <c r="H27" s="4" t="str">
        <f>"000083"</f>
        <v>000083</v>
      </c>
      <c r="I27" s="3">
        <v>42807</v>
      </c>
      <c r="J27" s="4" t="str">
        <f>"000281"</f>
        <v>000281</v>
      </c>
      <c r="K27" s="3">
        <v>42824</v>
      </c>
      <c r="L27" s="4" t="str">
        <f>"000534"</f>
        <v>000534</v>
      </c>
      <c r="M27" s="3">
        <v>42824</v>
      </c>
      <c r="N27" s="4">
        <v>17</v>
      </c>
      <c r="O27" s="4" t="str">
        <f>"005160"</f>
        <v>005160</v>
      </c>
      <c r="P27" s="3">
        <v>43326</v>
      </c>
      <c r="Q27" s="6">
        <v>14.01685</v>
      </c>
      <c r="R27" s="6">
        <v>1.11381</v>
      </c>
      <c r="S27" s="6">
        <v>12.903040000000001</v>
      </c>
      <c r="T27" s="4">
        <v>174</v>
      </c>
      <c r="U27" s="3">
        <v>43330</v>
      </c>
      <c r="V27" s="4">
        <v>9901549845</v>
      </c>
      <c r="W27" s="5" t="s">
        <v>56</v>
      </c>
      <c r="X27" s="4" t="s">
        <v>30</v>
      </c>
      <c r="Y27" s="5" t="s">
        <v>31</v>
      </c>
      <c r="Z27" s="4" t="s">
        <v>58</v>
      </c>
      <c r="AA27" s="5" t="s">
        <v>59</v>
      </c>
      <c r="AB27" s="6">
        <v>0.1401685</v>
      </c>
      <c r="AD27" s="7"/>
      <c r="AF27" s="7"/>
      <c r="AG27" s="7"/>
    </row>
    <row r="28" spans="1:33" x14ac:dyDescent="0.2">
      <c r="A28" s="11">
        <v>4995</v>
      </c>
      <c r="B28" s="12" t="s">
        <v>29</v>
      </c>
      <c r="C28" s="12">
        <v>43330</v>
      </c>
      <c r="D28" s="4">
        <v>169</v>
      </c>
      <c r="E28" s="5" t="s">
        <v>61</v>
      </c>
      <c r="F28" s="4" t="s">
        <v>131</v>
      </c>
      <c r="G28" s="5" t="s">
        <v>132</v>
      </c>
      <c r="H28" s="4" t="str">
        <f>"000060"</f>
        <v>000060</v>
      </c>
      <c r="I28" s="3">
        <v>42800</v>
      </c>
      <c r="J28" s="4" t="str">
        <f>"000282"</f>
        <v>000282</v>
      </c>
      <c r="K28" s="3">
        <v>42824</v>
      </c>
      <c r="L28" s="4" t="str">
        <f>"000535"</f>
        <v>000535</v>
      </c>
      <c r="M28" s="3">
        <v>42824</v>
      </c>
      <c r="N28" s="4">
        <v>17</v>
      </c>
      <c r="O28" s="4" t="str">
        <f>"005161"</f>
        <v>005161</v>
      </c>
      <c r="P28" s="3">
        <v>43326</v>
      </c>
      <c r="Q28" s="6">
        <v>9.2952100000000009</v>
      </c>
      <c r="R28" s="6">
        <v>0.75734000000000001</v>
      </c>
      <c r="S28" s="6">
        <v>8.5378699999999998</v>
      </c>
      <c r="T28" s="4">
        <v>174</v>
      </c>
      <c r="U28" s="3">
        <v>43330</v>
      </c>
      <c r="V28" s="4">
        <v>9901549845</v>
      </c>
      <c r="W28" s="5" t="s">
        <v>56</v>
      </c>
      <c r="X28" s="4" t="s">
        <v>30</v>
      </c>
      <c r="Y28" s="5" t="s">
        <v>31</v>
      </c>
      <c r="Z28" s="4" t="s">
        <v>58</v>
      </c>
      <c r="AA28" s="5" t="s">
        <v>59</v>
      </c>
      <c r="AB28" s="6">
        <v>9.295210000000001E-2</v>
      </c>
      <c r="AD28" s="7"/>
      <c r="AF28" s="7"/>
      <c r="AG28" s="7"/>
    </row>
    <row r="29" spans="1:33" x14ac:dyDescent="0.2">
      <c r="A29" s="11">
        <v>5019</v>
      </c>
      <c r="B29" s="12" t="s">
        <v>29</v>
      </c>
      <c r="C29" s="12">
        <v>43333</v>
      </c>
      <c r="D29" s="4">
        <v>169</v>
      </c>
      <c r="E29" s="5" t="s">
        <v>61</v>
      </c>
      <c r="F29" s="4" t="s">
        <v>133</v>
      </c>
      <c r="G29" s="5" t="s">
        <v>134</v>
      </c>
      <c r="H29" s="4" t="str">
        <f>"000002"</f>
        <v>000002</v>
      </c>
      <c r="I29" s="3">
        <v>42955</v>
      </c>
      <c r="J29" s="4" t="str">
        <f>"000012"</f>
        <v>000012</v>
      </c>
      <c r="K29" s="3">
        <v>43033</v>
      </c>
      <c r="L29" s="4" t="str">
        <f>"000019"</f>
        <v>000019</v>
      </c>
      <c r="M29" s="3">
        <v>43034</v>
      </c>
      <c r="N29" s="4">
        <v>17</v>
      </c>
      <c r="O29" s="4" t="str">
        <f>"005275"</f>
        <v>005275</v>
      </c>
      <c r="P29" s="3">
        <v>43332</v>
      </c>
      <c r="Q29" s="6">
        <v>19.80125</v>
      </c>
      <c r="R29" s="6">
        <v>2.2199499999999999</v>
      </c>
      <c r="S29" s="6">
        <v>17.581299999999999</v>
      </c>
      <c r="T29" s="4">
        <v>176</v>
      </c>
      <c r="U29" s="3">
        <v>43333</v>
      </c>
      <c r="V29" s="4">
        <v>9611673328</v>
      </c>
      <c r="W29" s="5" t="s">
        <v>135</v>
      </c>
      <c r="X29" s="4" t="s">
        <v>136</v>
      </c>
      <c r="Y29" s="5" t="s">
        <v>137</v>
      </c>
      <c r="Z29" s="4" t="s">
        <v>54</v>
      </c>
      <c r="AA29" s="5" t="s">
        <v>55</v>
      </c>
      <c r="AB29" s="6">
        <v>0.19801250000000001</v>
      </c>
      <c r="AD29" s="7"/>
      <c r="AF29" s="7"/>
      <c r="AG29" s="7"/>
    </row>
    <row r="30" spans="1:33" x14ac:dyDescent="0.2">
      <c r="A30" s="11">
        <v>6639</v>
      </c>
      <c r="B30" s="12" t="s">
        <v>138</v>
      </c>
      <c r="C30" s="12">
        <v>43389</v>
      </c>
      <c r="D30" s="4">
        <v>169</v>
      </c>
      <c r="E30" s="5" t="s">
        <v>61</v>
      </c>
      <c r="F30" s="4" t="s">
        <v>139</v>
      </c>
      <c r="G30" s="5" t="s">
        <v>140</v>
      </c>
      <c r="H30" s="4" t="str">
        <f>"000084"</f>
        <v>000084</v>
      </c>
      <c r="I30" s="3">
        <v>42048</v>
      </c>
      <c r="J30" s="4" t="str">
        <f>"000090"</f>
        <v>000090</v>
      </c>
      <c r="K30" s="3">
        <v>42625</v>
      </c>
      <c r="L30" s="4" t="str">
        <f>"000541"</f>
        <v>000541</v>
      </c>
      <c r="M30" s="3">
        <v>42824</v>
      </c>
      <c r="N30" s="4">
        <v>15</v>
      </c>
      <c r="O30" s="4" t="str">
        <f>"006483"</f>
        <v>006483</v>
      </c>
      <c r="P30" s="3">
        <v>43383</v>
      </c>
      <c r="Q30" s="6">
        <v>9.8758400000000002</v>
      </c>
      <c r="R30" s="6">
        <v>1.6526700000000001</v>
      </c>
      <c r="S30" s="6">
        <v>8.2231699999999996</v>
      </c>
      <c r="T30" s="4">
        <v>244</v>
      </c>
      <c r="U30" s="3">
        <v>43389</v>
      </c>
      <c r="V30" s="4">
        <v>9448021479</v>
      </c>
      <c r="W30" s="5" t="s">
        <v>40</v>
      </c>
      <c r="X30" s="4" t="s">
        <v>50</v>
      </c>
      <c r="Y30" s="5" t="s">
        <v>51</v>
      </c>
      <c r="Z30" s="4" t="s">
        <v>58</v>
      </c>
      <c r="AA30" s="5" t="s">
        <v>59</v>
      </c>
      <c r="AB30" s="6">
        <f t="shared" ref="AB30:AB39" si="0">Q30/100</f>
        <v>9.8758399999999996E-2</v>
      </c>
      <c r="AD30" s="7"/>
      <c r="AF30" s="7"/>
      <c r="AG30" s="7"/>
    </row>
    <row r="31" spans="1:33" x14ac:dyDescent="0.2">
      <c r="A31" s="11">
        <v>6640</v>
      </c>
      <c r="B31" s="12" t="s">
        <v>138</v>
      </c>
      <c r="C31" s="12">
        <v>43389</v>
      </c>
      <c r="D31" s="4">
        <v>169</v>
      </c>
      <c r="E31" s="5" t="s">
        <v>61</v>
      </c>
      <c r="F31" s="4" t="s">
        <v>141</v>
      </c>
      <c r="G31" s="5" t="s">
        <v>142</v>
      </c>
      <c r="H31" s="4" t="str">
        <f>"000206"</f>
        <v>000206</v>
      </c>
      <c r="I31" s="3">
        <v>42073</v>
      </c>
      <c r="J31" s="4" t="str">
        <f>"000092"</f>
        <v>000092</v>
      </c>
      <c r="K31" s="3">
        <v>42625</v>
      </c>
      <c r="L31" s="4" t="str">
        <f>"000542"</f>
        <v>000542</v>
      </c>
      <c r="M31" s="3">
        <v>42824</v>
      </c>
      <c r="N31" s="4">
        <v>15</v>
      </c>
      <c r="O31" s="4" t="str">
        <f>"006484"</f>
        <v>006484</v>
      </c>
      <c r="P31" s="3">
        <v>43383</v>
      </c>
      <c r="Q31" s="6">
        <v>9.8618000000000006</v>
      </c>
      <c r="R31" s="6">
        <v>1.3642099999999999</v>
      </c>
      <c r="S31" s="6">
        <v>8.4975900000000006</v>
      </c>
      <c r="T31" s="4">
        <v>244</v>
      </c>
      <c r="U31" s="3">
        <v>43389</v>
      </c>
      <c r="V31" s="4">
        <v>9865235478</v>
      </c>
      <c r="W31" s="5" t="s">
        <v>72</v>
      </c>
      <c r="X31" s="4" t="s">
        <v>30</v>
      </c>
      <c r="Y31" s="5" t="s">
        <v>31</v>
      </c>
      <c r="Z31" s="4" t="s">
        <v>58</v>
      </c>
      <c r="AA31" s="5" t="s">
        <v>59</v>
      </c>
      <c r="AB31" s="6">
        <f t="shared" si="0"/>
        <v>9.8618000000000011E-2</v>
      </c>
      <c r="AD31" s="7"/>
      <c r="AF31" s="7"/>
      <c r="AG31" s="7"/>
    </row>
    <row r="32" spans="1:33" x14ac:dyDescent="0.2">
      <c r="A32" s="11">
        <v>6641</v>
      </c>
      <c r="B32" s="12" t="s">
        <v>138</v>
      </c>
      <c r="C32" s="12">
        <v>43389</v>
      </c>
      <c r="D32" s="4">
        <v>169</v>
      </c>
      <c r="E32" s="5" t="s">
        <v>61</v>
      </c>
      <c r="F32" s="4" t="s">
        <v>143</v>
      </c>
      <c r="G32" s="5" t="s">
        <v>144</v>
      </c>
      <c r="H32" s="4" t="str">
        <f>"000205"</f>
        <v>000205</v>
      </c>
      <c r="I32" s="3">
        <v>42073</v>
      </c>
      <c r="J32" s="4" t="str">
        <f>"000094"</f>
        <v>000094</v>
      </c>
      <c r="K32" s="3">
        <v>42625</v>
      </c>
      <c r="L32" s="4" t="str">
        <f>"000544"</f>
        <v>000544</v>
      </c>
      <c r="M32" s="3">
        <v>42824</v>
      </c>
      <c r="N32" s="4">
        <v>15</v>
      </c>
      <c r="O32" s="4" t="str">
        <f>"006485"</f>
        <v>006485</v>
      </c>
      <c r="P32" s="3">
        <v>43383</v>
      </c>
      <c r="Q32" s="6">
        <v>13.69908</v>
      </c>
      <c r="R32" s="6">
        <v>1.83083</v>
      </c>
      <c r="S32" s="6">
        <v>11.86825</v>
      </c>
      <c r="T32" s="4">
        <v>244</v>
      </c>
      <c r="U32" s="3">
        <v>43389</v>
      </c>
      <c r="V32" s="4">
        <v>9740246979</v>
      </c>
      <c r="W32" s="5" t="s">
        <v>145</v>
      </c>
      <c r="X32" s="4" t="s">
        <v>30</v>
      </c>
      <c r="Y32" s="5" t="s">
        <v>31</v>
      </c>
      <c r="Z32" s="4" t="s">
        <v>58</v>
      </c>
      <c r="AA32" s="5" t="s">
        <v>59</v>
      </c>
      <c r="AB32" s="6">
        <f t="shared" si="0"/>
        <v>0.1369908</v>
      </c>
      <c r="AD32" s="7"/>
      <c r="AF32" s="7"/>
      <c r="AG32" s="7"/>
    </row>
    <row r="33" spans="1:33" x14ac:dyDescent="0.2">
      <c r="A33" s="11">
        <v>6642</v>
      </c>
      <c r="B33" s="12" t="s">
        <v>138</v>
      </c>
      <c r="C33" s="12">
        <v>43389</v>
      </c>
      <c r="D33" s="4">
        <v>169</v>
      </c>
      <c r="E33" s="5" t="s">
        <v>61</v>
      </c>
      <c r="F33" s="4" t="s">
        <v>146</v>
      </c>
      <c r="G33" s="5" t="s">
        <v>147</v>
      </c>
      <c r="H33" s="4" t="str">
        <f>"000085"</f>
        <v>000085</v>
      </c>
      <c r="I33" s="3">
        <v>42048</v>
      </c>
      <c r="J33" s="4" t="str">
        <f>"000095"</f>
        <v>000095</v>
      </c>
      <c r="K33" s="3">
        <v>42625</v>
      </c>
      <c r="L33" s="4" t="str">
        <f>"000545"</f>
        <v>000545</v>
      </c>
      <c r="M33" s="3">
        <v>42824</v>
      </c>
      <c r="N33" s="4">
        <v>15</v>
      </c>
      <c r="O33" s="4" t="str">
        <f>"006486"</f>
        <v>006486</v>
      </c>
      <c r="P33" s="3">
        <v>43383</v>
      </c>
      <c r="Q33" s="6">
        <v>24.662140000000001</v>
      </c>
      <c r="R33" s="6">
        <v>3.8670599999999999</v>
      </c>
      <c r="S33" s="6">
        <v>20.795079999999999</v>
      </c>
      <c r="T33" s="4">
        <v>244</v>
      </c>
      <c r="U33" s="3">
        <v>43389</v>
      </c>
      <c r="V33" s="4">
        <v>9448021479</v>
      </c>
      <c r="W33" s="5" t="s">
        <v>40</v>
      </c>
      <c r="X33" s="4" t="s">
        <v>50</v>
      </c>
      <c r="Y33" s="5" t="s">
        <v>51</v>
      </c>
      <c r="Z33" s="4" t="s">
        <v>58</v>
      </c>
      <c r="AA33" s="5" t="s">
        <v>59</v>
      </c>
      <c r="AB33" s="6">
        <f t="shared" si="0"/>
        <v>0.24662140000000002</v>
      </c>
      <c r="AD33" s="7"/>
      <c r="AF33" s="7"/>
      <c r="AG33" s="7"/>
    </row>
    <row r="34" spans="1:33" x14ac:dyDescent="0.2">
      <c r="A34" s="11">
        <v>6778</v>
      </c>
      <c r="B34" s="12" t="s">
        <v>138</v>
      </c>
      <c r="C34" s="12">
        <v>43390</v>
      </c>
      <c r="D34" s="4">
        <v>169</v>
      </c>
      <c r="E34" s="5" t="s">
        <v>61</v>
      </c>
      <c r="F34" s="4" t="s">
        <v>148</v>
      </c>
      <c r="G34" s="5" t="s">
        <v>149</v>
      </c>
      <c r="H34" s="4" t="str">
        <f>"000055"</f>
        <v>000055</v>
      </c>
      <c r="I34" s="3">
        <v>43076</v>
      </c>
      <c r="J34" s="4" t="str">
        <f>"000035"</f>
        <v>000035</v>
      </c>
      <c r="K34" s="3">
        <v>43316</v>
      </c>
      <c r="L34" s="4" t="str">
        <f>"000082"</f>
        <v>000082</v>
      </c>
      <c r="M34" s="3">
        <v>43371</v>
      </c>
      <c r="N34" s="4">
        <v>17</v>
      </c>
      <c r="O34" s="4" t="str">
        <f>"006790"</f>
        <v>006790</v>
      </c>
      <c r="P34" s="3">
        <v>43389</v>
      </c>
      <c r="Q34" s="6">
        <v>5.0094000000000003</v>
      </c>
      <c r="R34" s="6">
        <v>0.10521</v>
      </c>
      <c r="S34" s="6">
        <v>4.9041899999999998</v>
      </c>
      <c r="T34" s="4">
        <v>245</v>
      </c>
      <c r="U34" s="3">
        <v>43390</v>
      </c>
      <c r="V34" s="4">
        <v>9483501967</v>
      </c>
      <c r="W34" s="5" t="s">
        <v>150</v>
      </c>
      <c r="X34" s="4" t="s">
        <v>36</v>
      </c>
      <c r="Y34" s="5" t="s">
        <v>37</v>
      </c>
      <c r="Z34" s="4" t="s">
        <v>58</v>
      </c>
      <c r="AA34" s="5" t="s">
        <v>59</v>
      </c>
      <c r="AB34" s="6">
        <f t="shared" si="0"/>
        <v>5.0094E-2</v>
      </c>
      <c r="AD34" s="7"/>
      <c r="AF34" s="7"/>
      <c r="AG34" s="7"/>
    </row>
    <row r="35" spans="1:33" x14ac:dyDescent="0.2">
      <c r="A35" s="11">
        <v>6864</v>
      </c>
      <c r="B35" s="12" t="s">
        <v>138</v>
      </c>
      <c r="C35" s="12">
        <v>43398</v>
      </c>
      <c r="D35" s="4">
        <v>169</v>
      </c>
      <c r="E35" s="5" t="s">
        <v>61</v>
      </c>
      <c r="F35" s="4" t="s">
        <v>151</v>
      </c>
      <c r="G35" s="5" t="s">
        <v>152</v>
      </c>
      <c r="H35" s="4" t="str">
        <f>"000094"</f>
        <v>000094</v>
      </c>
      <c r="I35" s="3">
        <v>43174</v>
      </c>
      <c r="J35" s="4" t="str">
        <f>"000042"</f>
        <v>000042</v>
      </c>
      <c r="K35" s="3">
        <v>43320</v>
      </c>
      <c r="L35" s="4" t="str">
        <f>"000060"</f>
        <v>000060</v>
      </c>
      <c r="M35" s="3">
        <v>43322</v>
      </c>
      <c r="N35" s="4">
        <v>18</v>
      </c>
      <c r="O35" s="4" t="str">
        <f>"006751"</f>
        <v>006751</v>
      </c>
      <c r="P35" s="3">
        <v>43389</v>
      </c>
      <c r="Q35" s="6">
        <v>39.488219999999998</v>
      </c>
      <c r="R35" s="6">
        <v>4.29251</v>
      </c>
      <c r="S35" s="6">
        <v>35.195709999999998</v>
      </c>
      <c r="T35" s="4">
        <v>249</v>
      </c>
      <c r="U35" s="3">
        <v>43398</v>
      </c>
      <c r="V35" s="4">
        <v>7204694775</v>
      </c>
      <c r="W35" s="5" t="s">
        <v>153</v>
      </c>
      <c r="X35" s="4" t="s">
        <v>39</v>
      </c>
      <c r="Y35" s="5" t="s">
        <v>38</v>
      </c>
      <c r="Z35" s="4" t="s">
        <v>58</v>
      </c>
      <c r="AA35" s="5" t="s">
        <v>59</v>
      </c>
      <c r="AB35" s="6">
        <f t="shared" si="0"/>
        <v>0.39488219999999996</v>
      </c>
      <c r="AD35" s="7"/>
      <c r="AF35" s="7"/>
      <c r="AG35" s="7"/>
    </row>
    <row r="36" spans="1:33" x14ac:dyDescent="0.2">
      <c r="A36" s="11">
        <v>7177</v>
      </c>
      <c r="B36" s="12" t="s">
        <v>154</v>
      </c>
      <c r="C36" s="12">
        <v>43418</v>
      </c>
      <c r="D36" s="4">
        <v>169</v>
      </c>
      <c r="E36" s="5" t="s">
        <v>61</v>
      </c>
      <c r="F36" s="4" t="s">
        <v>155</v>
      </c>
      <c r="G36" s="5" t="s">
        <v>156</v>
      </c>
      <c r="H36" s="4" t="str">
        <f>"000081"</f>
        <v>000081</v>
      </c>
      <c r="I36" s="3">
        <v>43141</v>
      </c>
      <c r="J36" s="4" t="str">
        <f>"000037"</f>
        <v>000037</v>
      </c>
      <c r="K36" s="3">
        <v>43141</v>
      </c>
      <c r="L36" s="4" t="str">
        <f>"000047"</f>
        <v>000047</v>
      </c>
      <c r="M36" s="3">
        <v>43143</v>
      </c>
      <c r="N36" s="4">
        <v>17</v>
      </c>
      <c r="O36" s="4" t="str">
        <f>"007183"</f>
        <v>007183</v>
      </c>
      <c r="P36" s="3">
        <v>43404</v>
      </c>
      <c r="Q36" s="6">
        <v>99.828230000000005</v>
      </c>
      <c r="R36" s="6">
        <v>7.9806999999999997</v>
      </c>
      <c r="S36" s="6">
        <v>91.847530000000006</v>
      </c>
      <c r="T36" s="4">
        <v>261</v>
      </c>
      <c r="U36" s="3">
        <v>43418</v>
      </c>
      <c r="V36" s="4">
        <v>9845290968</v>
      </c>
      <c r="W36" s="5" t="s">
        <v>157</v>
      </c>
      <c r="X36" s="4" t="s">
        <v>136</v>
      </c>
      <c r="Y36" s="5" t="s">
        <v>137</v>
      </c>
      <c r="Z36" s="4" t="s">
        <v>54</v>
      </c>
      <c r="AA36" s="5" t="s">
        <v>55</v>
      </c>
      <c r="AB36" s="6">
        <f t="shared" si="0"/>
        <v>0.99828230000000007</v>
      </c>
      <c r="AD36" s="7"/>
      <c r="AF36" s="7"/>
      <c r="AG36" s="7"/>
    </row>
    <row r="37" spans="1:33" x14ac:dyDescent="0.2">
      <c r="A37" s="11">
        <v>7178</v>
      </c>
      <c r="B37" s="12" t="s">
        <v>154</v>
      </c>
      <c r="C37" s="12">
        <v>43418</v>
      </c>
      <c r="D37" s="4">
        <v>169</v>
      </c>
      <c r="E37" s="5" t="s">
        <v>61</v>
      </c>
      <c r="F37" s="4" t="s">
        <v>158</v>
      </c>
      <c r="G37" s="5" t="s">
        <v>159</v>
      </c>
      <c r="H37" s="4" t="str">
        <f>"000080"</f>
        <v>000080</v>
      </c>
      <c r="I37" s="3">
        <v>43141</v>
      </c>
      <c r="J37" s="4" t="str">
        <f>"000038"</f>
        <v>000038</v>
      </c>
      <c r="K37" s="3">
        <v>43141</v>
      </c>
      <c r="L37" s="4" t="str">
        <f>"000048"</f>
        <v>000048</v>
      </c>
      <c r="M37" s="3">
        <v>43143</v>
      </c>
      <c r="N37" s="4">
        <v>17</v>
      </c>
      <c r="O37" s="4" t="str">
        <f>"007184"</f>
        <v>007184</v>
      </c>
      <c r="P37" s="3">
        <v>43404</v>
      </c>
      <c r="Q37" s="6">
        <v>83.939819999999997</v>
      </c>
      <c r="R37" s="6">
        <v>6.7569499999999998</v>
      </c>
      <c r="S37" s="6">
        <v>77.182869999999994</v>
      </c>
      <c r="T37" s="4">
        <v>261</v>
      </c>
      <c r="U37" s="3">
        <v>43418</v>
      </c>
      <c r="V37" s="4">
        <v>9611673328</v>
      </c>
      <c r="W37" s="5" t="s">
        <v>160</v>
      </c>
      <c r="X37" s="4" t="s">
        <v>136</v>
      </c>
      <c r="Y37" s="5" t="s">
        <v>137</v>
      </c>
      <c r="Z37" s="4" t="s">
        <v>54</v>
      </c>
      <c r="AA37" s="5" t="s">
        <v>55</v>
      </c>
      <c r="AB37" s="6">
        <f t="shared" si="0"/>
        <v>0.83939819999999998</v>
      </c>
      <c r="AD37" s="7"/>
      <c r="AF37" s="7"/>
      <c r="AG37" s="7"/>
    </row>
    <row r="38" spans="1:33" x14ac:dyDescent="0.2">
      <c r="A38" s="11">
        <v>7275</v>
      </c>
      <c r="B38" s="12" t="s">
        <v>154</v>
      </c>
      <c r="C38" s="12">
        <v>43420</v>
      </c>
      <c r="D38" s="4">
        <v>169</v>
      </c>
      <c r="E38" s="5" t="s">
        <v>61</v>
      </c>
      <c r="F38" s="4" t="s">
        <v>161</v>
      </c>
      <c r="G38" s="5" t="s">
        <v>162</v>
      </c>
      <c r="H38" s="4" t="str">
        <f>"000066"</f>
        <v>000066</v>
      </c>
      <c r="I38" s="3">
        <v>42032</v>
      </c>
      <c r="J38" s="4" t="str">
        <f>"000113"</f>
        <v>000113</v>
      </c>
      <c r="K38" s="3">
        <v>42625</v>
      </c>
      <c r="L38" s="4" t="str">
        <f>"000324"</f>
        <v>000324</v>
      </c>
      <c r="M38" s="3">
        <v>42643</v>
      </c>
      <c r="N38" s="4">
        <v>15</v>
      </c>
      <c r="O38" s="4" t="str">
        <f>"007248"</f>
        <v>007248</v>
      </c>
      <c r="P38" s="3">
        <v>43406</v>
      </c>
      <c r="Q38" s="6">
        <v>14.22076</v>
      </c>
      <c r="R38" s="6">
        <v>1.76596</v>
      </c>
      <c r="S38" s="6">
        <v>12.454800000000001</v>
      </c>
      <c r="T38" s="4">
        <v>267</v>
      </c>
      <c r="U38" s="3">
        <v>43420</v>
      </c>
      <c r="V38" s="4">
        <v>7854213265</v>
      </c>
      <c r="W38" s="5" t="s">
        <v>163</v>
      </c>
      <c r="X38" s="4" t="s">
        <v>30</v>
      </c>
      <c r="Y38" s="5" t="s">
        <v>31</v>
      </c>
      <c r="Z38" s="4" t="s">
        <v>58</v>
      </c>
      <c r="AA38" s="5" t="s">
        <v>59</v>
      </c>
      <c r="AB38" s="6">
        <f t="shared" si="0"/>
        <v>0.14220759999999999</v>
      </c>
      <c r="AD38" s="7"/>
      <c r="AF38" s="7"/>
      <c r="AG38" s="7"/>
    </row>
    <row r="39" spans="1:33" x14ac:dyDescent="0.2">
      <c r="A39" s="11">
        <v>7418</v>
      </c>
      <c r="B39" s="12" t="s">
        <v>154</v>
      </c>
      <c r="C39" s="12">
        <v>43431</v>
      </c>
      <c r="D39" s="4">
        <v>169</v>
      </c>
      <c r="E39" s="5" t="s">
        <v>61</v>
      </c>
      <c r="F39" s="4" t="s">
        <v>164</v>
      </c>
      <c r="G39" s="5" t="s">
        <v>165</v>
      </c>
      <c r="H39" s="4" t="str">
        <f>"000046"</f>
        <v>000046</v>
      </c>
      <c r="I39" s="3">
        <v>42544</v>
      </c>
      <c r="J39" s="4" t="str">
        <f>"000022"</f>
        <v>000022</v>
      </c>
      <c r="K39" s="3">
        <v>43102</v>
      </c>
      <c r="L39" s="4" t="str">
        <f>"000035"</f>
        <v>000035</v>
      </c>
      <c r="M39" s="3">
        <v>43109</v>
      </c>
      <c r="N39" s="4">
        <v>16</v>
      </c>
      <c r="O39" s="4" t="str">
        <f>"007591"</f>
        <v>007591</v>
      </c>
      <c r="P39" s="3">
        <v>43431</v>
      </c>
      <c r="Q39" s="6">
        <v>54.98865</v>
      </c>
      <c r="R39" s="6">
        <v>7.3185500000000001</v>
      </c>
      <c r="S39" s="6">
        <v>47.670099999999998</v>
      </c>
      <c r="T39" s="4">
        <v>275</v>
      </c>
      <c r="U39" s="3">
        <v>43431</v>
      </c>
      <c r="V39" s="4">
        <v>9845388800</v>
      </c>
      <c r="W39" s="5" t="s">
        <v>40</v>
      </c>
      <c r="X39" s="4" t="s">
        <v>166</v>
      </c>
      <c r="Y39" s="5" t="s">
        <v>167</v>
      </c>
      <c r="Z39" s="4" t="s">
        <v>54</v>
      </c>
      <c r="AA39" s="5" t="s">
        <v>55</v>
      </c>
      <c r="AB39" s="6">
        <f t="shared" si="0"/>
        <v>0.54988649999999994</v>
      </c>
      <c r="AD39" s="7"/>
      <c r="AF39" s="7"/>
      <c r="AG39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2019-01-17T14:55:52Z</dcterms:modified>
</cp:coreProperties>
</file>