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4" i="1" l="1"/>
  <c r="O54" i="1"/>
  <c r="L54" i="1"/>
  <c r="J54" i="1"/>
  <c r="H54" i="1"/>
  <c r="AB53" i="1"/>
  <c r="O53" i="1"/>
  <c r="L53" i="1"/>
  <c r="J53" i="1"/>
  <c r="H53" i="1"/>
  <c r="AB52" i="1"/>
  <c r="O52" i="1"/>
  <c r="L52" i="1"/>
  <c r="J52" i="1"/>
  <c r="H52" i="1"/>
  <c r="AB51" i="1"/>
  <c r="O51" i="1"/>
  <c r="L51" i="1"/>
  <c r="J51" i="1"/>
  <c r="H51" i="1"/>
  <c r="AB50" i="1"/>
  <c r="O50" i="1"/>
  <c r="L50" i="1"/>
  <c r="J50" i="1"/>
  <c r="H50" i="1"/>
  <c r="AB49" i="1"/>
  <c r="O49" i="1"/>
  <c r="L49" i="1"/>
  <c r="J49" i="1"/>
  <c r="H49" i="1"/>
  <c r="AB48" i="1"/>
  <c r="O48" i="1"/>
  <c r="L48" i="1"/>
  <c r="J48" i="1"/>
  <c r="H48" i="1"/>
  <c r="AB47" i="1"/>
  <c r="O47" i="1"/>
  <c r="L47" i="1"/>
  <c r="J47" i="1"/>
  <c r="H47" i="1"/>
  <c r="AB46" i="1"/>
  <c r="O46" i="1"/>
  <c r="L46" i="1"/>
  <c r="J46" i="1"/>
  <c r="H46" i="1"/>
  <c r="AB45" i="1"/>
  <c r="O45" i="1"/>
  <c r="L45" i="1"/>
  <c r="J45" i="1"/>
  <c r="H45" i="1"/>
  <c r="AB44" i="1"/>
  <c r="O44" i="1"/>
  <c r="L44" i="1"/>
  <c r="J44" i="1"/>
  <c r="H44" i="1"/>
  <c r="AB43" i="1"/>
  <c r="O43" i="1"/>
  <c r="L43" i="1"/>
  <c r="J43" i="1"/>
  <c r="H43" i="1"/>
  <c r="AB42" i="1"/>
  <c r="O42" i="1"/>
  <c r="L42" i="1"/>
  <c r="J42" i="1"/>
  <c r="H42" i="1"/>
  <c r="O41" i="1"/>
  <c r="L41" i="1"/>
  <c r="J41" i="1"/>
  <c r="H41" i="1"/>
  <c r="O40" i="1"/>
  <c r="L40" i="1"/>
  <c r="J40" i="1"/>
  <c r="H40" i="1"/>
  <c r="O39" i="1"/>
  <c r="L39" i="1"/>
  <c r="J39" i="1"/>
  <c r="H39" i="1"/>
  <c r="O38" i="1"/>
  <c r="L38" i="1"/>
  <c r="J38" i="1"/>
  <c r="H38" i="1"/>
  <c r="O37" i="1"/>
  <c r="L37" i="1"/>
  <c r="J37" i="1"/>
  <c r="H37" i="1"/>
  <c r="O36" i="1"/>
  <c r="L36" i="1"/>
  <c r="J36" i="1"/>
  <c r="H36" i="1"/>
  <c r="O35" i="1"/>
  <c r="L35" i="1"/>
  <c r="J35" i="1"/>
  <c r="H35" i="1"/>
  <c r="O34" i="1"/>
  <c r="L34" i="1"/>
  <c r="J34" i="1"/>
  <c r="H34" i="1"/>
  <c r="O33" i="1"/>
  <c r="L33" i="1"/>
  <c r="J33" i="1"/>
  <c r="H33" i="1"/>
  <c r="O32" i="1"/>
  <c r="L32" i="1"/>
  <c r="J32" i="1"/>
  <c r="H32" i="1"/>
  <c r="O31" i="1"/>
  <c r="L31" i="1"/>
  <c r="J31" i="1"/>
  <c r="H31" i="1"/>
  <c r="O30" i="1"/>
  <c r="L30" i="1"/>
  <c r="J30" i="1"/>
  <c r="H30" i="1"/>
  <c r="O29" i="1"/>
  <c r="L29" i="1"/>
  <c r="J29" i="1"/>
  <c r="H29" i="1"/>
  <c r="O28" i="1"/>
  <c r="L28" i="1"/>
  <c r="J28" i="1"/>
  <c r="H28" i="1"/>
  <c r="O27" i="1"/>
  <c r="L27" i="1"/>
  <c r="J27" i="1"/>
  <c r="H27" i="1"/>
  <c r="O26" i="1"/>
  <c r="L26" i="1"/>
  <c r="J26" i="1"/>
  <c r="H26" i="1"/>
  <c r="O25" i="1"/>
  <c r="L25" i="1"/>
  <c r="J25" i="1"/>
  <c r="H25" i="1"/>
  <c r="O24" i="1"/>
  <c r="L24" i="1"/>
  <c r="J24" i="1"/>
  <c r="H24" i="1"/>
  <c r="O23" i="1"/>
  <c r="L23" i="1"/>
  <c r="J23" i="1"/>
  <c r="H23" i="1"/>
  <c r="O22" i="1"/>
  <c r="L22" i="1"/>
  <c r="J22" i="1"/>
  <c r="H22"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<sst xmlns="http://schemas.openxmlformats.org/spreadsheetml/2006/main" count="505" uniqueCount="195">
  <si>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</si>
  <si>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</si>
  <si>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</si>
  <si>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</si>
  <si>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</si>
  <si>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</si>
  <si>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</si>
  <si>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</si>
  <si>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</si>
  <si>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</si>
  <si>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</si>
  <si>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</si>
  <si>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</si>
  <si>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</si>
  <si>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</si>
  <si>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</si>
  <si>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</si>
  <si>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</si>
  <si>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</si>
  <si>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</si>
  <si>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</si>
  <si>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</si>
  <si>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</si>
  <si>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</si>
  <si>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</si>
  <si>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</si>
  <si>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</si>
  <si>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</si>
  <si>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</si>
  <si>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August</t>
  </si>
  <si>
    <t>P1771</t>
  </si>
  <si>
    <t>Zone Works - POW Works</t>
  </si>
  <si>
    <t>July</t>
  </si>
  <si>
    <t>P0300</t>
  </si>
  <si>
    <t>M and R to Street Lights - Replacement of Burnt Bulbs etc. (Package)</t>
  </si>
  <si>
    <t>May</t>
  </si>
  <si>
    <t>September</t>
  </si>
  <si>
    <t>P3110</t>
  </si>
  <si>
    <t>14th Finance Commission Grant Works</t>
  </si>
  <si>
    <t>KRIDL</t>
  </si>
  <si>
    <t>Water Supply New Areas</t>
  </si>
  <si>
    <t>P1802</t>
  </si>
  <si>
    <t>June</t>
  </si>
  <si>
    <t>P3158</t>
  </si>
  <si>
    <t>SIP Infrastructure Project works</t>
  </si>
  <si>
    <t>M/s KRIDL</t>
  </si>
  <si>
    <t>P0190</t>
  </si>
  <si>
    <t>Works sanctioned by Hon Mayor</t>
  </si>
  <si>
    <t>ddo313</t>
  </si>
  <si>
    <t xml:space="preserve"> Chief Engineer SWD Central Zone</t>
  </si>
  <si>
    <t>P3089</t>
  </si>
  <si>
    <t>Special Development works in 7 CMC and 1 TMC area in BBMP</t>
  </si>
  <si>
    <t>P3071</t>
  </si>
  <si>
    <t>Development of Backward regions of Muncipal area under BBMP limits</t>
  </si>
  <si>
    <t>PRAKASH</t>
  </si>
  <si>
    <t>Executive Engineer-1</t>
  </si>
  <si>
    <t>ddo439</t>
  </si>
  <si>
    <t xml:space="preserve"> Executive Engineer Electrical Division Bomanahalli Zone</t>
  </si>
  <si>
    <t>Uttarahalli</t>
  </si>
  <si>
    <t>184-17-000051</t>
  </si>
  <si>
    <t>Improvements to UGD, Drains and Roads of Ramachandrapuram in Ward 184 Uttarahalli</t>
  </si>
  <si>
    <t>Sri B K Vinod Kumar</t>
  </si>
  <si>
    <t>ddo445</t>
  </si>
  <si>
    <t xml:space="preserve"> Assistant Executive Engineer Uttharahalli  sub Division Bomanahalli Zone</t>
  </si>
  <si>
    <t>184-17-000055</t>
  </si>
  <si>
    <t>Improvements to Roads from Muneshwara Block to Uttarahalli in Ward 184 Uttarahalli</t>
  </si>
  <si>
    <t>184-17-000050</t>
  </si>
  <si>
    <t>Improvements to Roads of Srinidhi Layout in Ward 184 Uttarahalli</t>
  </si>
  <si>
    <t>184-17-000052</t>
  </si>
  <si>
    <t>Improvements to UGD, Asphalting the Roads of Manjunatha Nagara in Ward 184 Uttarahalli</t>
  </si>
  <si>
    <t>184-17-000057</t>
  </si>
  <si>
    <t>Improvements to Road of 1st and 2nd Cross of Krishnaiah Layout in Ward 184 Uttarahalli</t>
  </si>
  <si>
    <t>184-17-000053</t>
  </si>
  <si>
    <t>Improvements to Roads of Vinayak Nagara to Uttarahalli in Ward 184 Uttarahalli</t>
  </si>
  <si>
    <t>184-17-000056</t>
  </si>
  <si>
    <t>Improvements to UGD and Drains at 1st Cross 2nd main, and 2nd main 2nd and 3rd Cross of Hanuma Hills in Ward 184 Uttarahalli</t>
  </si>
  <si>
    <t>184-17-000080</t>
  </si>
  <si>
    <t>Engagement of Gangman and Hiring of Troctor Tippers for cleaning and Maintenance of road side drains and other cleaning works in works in ward no 184</t>
  </si>
  <si>
    <t>Ramamurthy L</t>
  </si>
  <si>
    <t>184-17-000049</t>
  </si>
  <si>
    <t>Improvements to UGD and Drains of Vaddarapalya to Spoorthi nagar in Ward 184 Uttarahalli</t>
  </si>
  <si>
    <t>184-17-000054</t>
  </si>
  <si>
    <t>Improvements to UGD and Roads of Maruthi Nagara in Ward 184 Uttarahalli</t>
  </si>
  <si>
    <t>184-16-000033</t>
  </si>
  <si>
    <t>Asphalting the 4th cross and balance roads at Naidu layout in ward no 184Uttarahalli</t>
  </si>
  <si>
    <t>Venugopal reddy b</t>
  </si>
  <si>
    <t>184-16-000022</t>
  </si>
  <si>
    <t>Drilling of 165mm dia Borewell at Yadhalam nagar, Arehall Vaddarapalya and Gubbalala Maruthi layout in ward no 184 Uttarahalli</t>
  </si>
  <si>
    <t>N K MOHAN MURALI</t>
  </si>
  <si>
    <t>184-16-000002</t>
  </si>
  <si>
    <t>Annual maintainance of water supply system in ward no 184 uttarahalli</t>
  </si>
  <si>
    <t>Prakash</t>
  </si>
  <si>
    <t>184-15-000046</t>
  </si>
  <si>
    <t>Providing drinking water through tankers in ward No. 184 Uttarahalli</t>
  </si>
  <si>
    <t>G Thimmegowda</t>
  </si>
  <si>
    <t>184-16-000038</t>
  </si>
  <si>
    <t xml:space="preserve">Improvements and construction of toliet at Uttarahalli school in ward no 184 </t>
  </si>
  <si>
    <t>S SRINIVASAN</t>
  </si>
  <si>
    <t>184-16-000032</t>
  </si>
  <si>
    <t>Improvements to roads and drains at Gubbalala friends colony in ward no 184</t>
  </si>
  <si>
    <t>Venugopal reddy B</t>
  </si>
  <si>
    <t>184-16-000024</t>
  </si>
  <si>
    <t>Improvements to Drains at uttarahalli Narasamma layout in ward no 184</t>
  </si>
  <si>
    <t>THIMME GOWDA G</t>
  </si>
  <si>
    <t>184-16-000025</t>
  </si>
  <si>
    <t>Providing Balance UGD Lines at main and cross roads and construction of culverts and SSM drain at Uttarahalli in ward no 184</t>
  </si>
  <si>
    <t>184-16-000036</t>
  </si>
  <si>
    <t xml:space="preserve">Improvements to roads and drains at Thurahalli golden green layout and hill view layout in ward no 184 Uttarahalli </t>
  </si>
  <si>
    <t>THIMME GOWDA</t>
  </si>
  <si>
    <t>184-16-000037</t>
  </si>
  <si>
    <t>Improvements to roads and drains at Arehalli nandha kumar layout in ward no 184 Uttarahalli</t>
  </si>
  <si>
    <t>184-16-000006</t>
  </si>
  <si>
    <t>Engaging tractor, labours and desilting of drains in ward no 184 uttarahalli</t>
  </si>
  <si>
    <t>184-17-000106</t>
  </si>
  <si>
    <t>Providing RO plants at W N 184</t>
  </si>
  <si>
    <t>184-16-000035</t>
  </si>
  <si>
    <t>Improvements and Asphalting thr roads at BSK 5th stage in ward no 184</t>
  </si>
  <si>
    <t>184-16-000023</t>
  </si>
  <si>
    <t>Improvements to Drains at uttarahalli appaiah swamy layout in ward no 184</t>
  </si>
  <si>
    <t>184-16-000031</t>
  </si>
  <si>
    <t>Asphalting the roads at Raja Garden in ward no 184</t>
  </si>
  <si>
    <t>184-16-000028</t>
  </si>
  <si>
    <t>Improvements and asphalting the roads at Krishnappa layout in ward no 184</t>
  </si>
  <si>
    <t>184-16-000029</t>
  </si>
  <si>
    <t>Improvements and asphalting the main road and cross roads at AGS layout in ward no 184</t>
  </si>
  <si>
    <t>184-16-000030</t>
  </si>
  <si>
    <t>Improvements to roads and drains at Yadhalam nagar in ward no 184</t>
  </si>
  <si>
    <t>184-15-000023</t>
  </si>
  <si>
    <t>Emergency Works in ward no. 184Uttarahalli</t>
  </si>
  <si>
    <t>184-16-000034</t>
  </si>
  <si>
    <t>Improvements to roads and drains at Gubbalala Huchappa palya in ward no 184</t>
  </si>
  <si>
    <t>Ramamurthy</t>
  </si>
  <si>
    <t>184-17-000033</t>
  </si>
  <si>
    <t>Drilling of 165 mm Dia New borwell and providing electrification and distribution of pipe line in ward no 184 uttarahalli</t>
  </si>
  <si>
    <t>BHARANI BOREWELL</t>
  </si>
  <si>
    <t>184-17-000019</t>
  </si>
  <si>
    <t>Bharani borewell</t>
  </si>
  <si>
    <t>184-17-000001</t>
  </si>
  <si>
    <t>Drilling of Borewell and supply of water through electric pump and other infrastructure works in area previously coming under Uttarahalli Gramapanchayath limits now under BBMP in ward no 184</t>
  </si>
  <si>
    <t>MAHESH REDDY B K VRUSHAB INFRASTACTURE</t>
  </si>
  <si>
    <t>184-16-000001</t>
  </si>
  <si>
    <t>Annual Operation and Maintenance of street lighting system in ward no-184 Package B3 of Bommanahalli zone.</t>
  </si>
  <si>
    <t>M/s. Ramya Electricals</t>
  </si>
  <si>
    <t>184-17-000083</t>
  </si>
  <si>
    <t>Providing CC Camera at Garbage Block Spots in ward no 184</t>
  </si>
  <si>
    <t>Sri M Thiyub Ahmed</t>
  </si>
  <si>
    <t>184-16-000049</t>
  </si>
  <si>
    <t>Improvements to roads and drains in Uttarahalli ward no 184</t>
  </si>
  <si>
    <t>HEMANTH KUMAR B T</t>
  </si>
  <si>
    <t>184-16-000026</t>
  </si>
  <si>
    <t>Improvements to drains and UGD at Uttarahalli ARO Office road at Uttarahalli in ward no 184</t>
  </si>
  <si>
    <t>madaiah D</t>
  </si>
  <si>
    <t>184-16-000040</t>
  </si>
  <si>
    <t xml:space="preserve">Improvements and Asphalting the roads at New Sri. Sapthagiri Layout in ward ward no 184 </t>
  </si>
  <si>
    <t>184-16-000039</t>
  </si>
  <si>
    <t>Improvements and Asphalting the cross roads of Poorna Pragna Nagara in ward no 184 Uttarahalli</t>
  </si>
  <si>
    <t>184-17-000007</t>
  </si>
  <si>
    <t>Improvements to drains and Asphalting to roads at Vajramuni nagara in ward no 184</t>
  </si>
  <si>
    <t>Kridl</t>
  </si>
  <si>
    <t>184-17-000027</t>
  </si>
  <si>
    <t>De-Silting of Drains, Engaging Tractor and Labours  in Ward 184, Uttarahalli</t>
  </si>
  <si>
    <t>Shashi kumar S M</t>
  </si>
  <si>
    <t>184-17-000020</t>
  </si>
  <si>
    <t>Annual maintainance of UGD system in ward no 184 uttarahalli</t>
  </si>
  <si>
    <t>184-16-000041</t>
  </si>
  <si>
    <t xml:space="preserve">Improvements  and Asphalting the  roads at Venkateswamappa  Layout in ward ward no 184 </t>
  </si>
  <si>
    <t>184-17-000008</t>
  </si>
  <si>
    <t>Improvements to drains and Asphalting to roads at Prathyana giri temple ward no 184</t>
  </si>
  <si>
    <t>184-17-000010</t>
  </si>
  <si>
    <t>Improvements to drain and Asphalting to roads to Ramachandrappa layout in ward no 184</t>
  </si>
  <si>
    <t>184-17-000009</t>
  </si>
  <si>
    <t>Improvements to drain and Asphalting to roads at Paduka Mandira in ward 184</t>
  </si>
  <si>
    <t>184-17-000107</t>
  </si>
  <si>
    <t>Construction of RCC Strom Water Drain for SWD RN 223 in Lakke gowda Nagara (Bharath Housing Society) in Uttarahalli W N 184 of bangalore South Constituency</t>
  </si>
  <si>
    <t>184-17-000022</t>
  </si>
  <si>
    <t>Providing UGD Lines at Manjunatha Nagara in ward no 184 uttarahalli</t>
  </si>
  <si>
    <t>HARISH CONSTRUCTION C.RAMAMURTHY</t>
  </si>
  <si>
    <t>October</t>
  </si>
  <si>
    <t>184-17-000064</t>
  </si>
  <si>
    <t>Drilling of 165mm Dia New borewell and providing electrification and Distribution of pipe line in ward no 184 Uttarahalli</t>
  </si>
  <si>
    <t>184-15-000038</t>
  </si>
  <si>
    <t xml:space="preserve">  Providing distribution llines and feeder lines to provide water kaveri supply facility to Krishna Kamala layout Bangarappa layout Ramachandrapura Vallabha nagara Naidu layout near ward office road and surrounding roads in ward no 184 Uttarahalli  </t>
  </si>
  <si>
    <t>Mahesh Reddy B K</t>
  </si>
  <si>
    <t>P3075</t>
  </si>
  <si>
    <t>Special comprehensive development works in Bangalore city (Bangalore city in charge Minister Discretionary Grants)</t>
  </si>
  <si>
    <t>184-15-000029</t>
  </si>
  <si>
    <t>Providing Distribution lines and feeder lines to provide water supply facility to the southern portion of the Yadhalam Nagara ward no 184 coming under ward no 184 Uttarahalli</t>
  </si>
  <si>
    <t>November</t>
  </si>
  <si>
    <t>184-18-000102</t>
  </si>
  <si>
    <t xml:space="preserve">Construction of compound wall with M.S.Grill and allied infrastructure to Indira Canteen premises in ward no.184  </t>
  </si>
  <si>
    <t>P3106</t>
  </si>
  <si>
    <t>Nagarothana Works</t>
  </si>
  <si>
    <t>December</t>
  </si>
  <si>
    <t>184-16-000013</t>
  </si>
  <si>
    <t>Providing drinking water through water tankers in ward no 184 uttarahalli</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</si>
</sst>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4"/>
  <sheetViews>
    <sheetView tabSelected="1" workbookViewId="0">
      <selection activeCell="F1" sqref="F1"/>
    </sheetView>
  </sheetViews>
  <sheetFormatPr defaultRowHeight="12.75" x14ac:dyDescent="0.2"/>
  <cols>
    <col min="1" max="1" width="5.42578125" style="8" bestFit="1" customWidth="1"/>
    <col min="2" max="2" width="9.140625" style="8"/>
    <col min="3" max="3" width="9.5703125" style="8" bestFit="1" customWidth="1"/>
    <col min="4" max="4" width="9.140625" style="8"/>
    <col min="5" max="5" width="10.85546875" style="9" bestFit="1" customWidth="1"/>
    <col min="6" max="6" width="13.28515625" style="9" bestFit="1" customWidth="1"/>
    <col min="7" max="7" width="45.85546875" style="9" customWidth="1"/>
    <col min="8" max="8" width="9.140625" style="9"/>
    <col min="9" max="9" width="9.140625" style="8"/>
    <col min="10" max="10" width="9.140625" style="7"/>
    <col min="11" max="20" width="9.140625" style="8"/>
    <col min="21" max="23" width="9.140625" style="10"/>
    <col min="24" max="26" width="9.140625" style="8"/>
    <col min="27" max="27" width="9.140625" style="7"/>
    <col min="28" max="28" width="9.140625" style="8"/>
    <col min="29" max="29" width="9.140625" style="7"/>
    <col min="30" max="30" width="9.140625" style="8"/>
    <col min="31" max="31" width="9.140625" style="7"/>
    <col min="32" max="33" width="9.140625" style="8"/>
    <col min="34" max="16384" width="9.140625" style="7"/>
  </cols>
  <sheetData>
    <row r="1" spans="1:33" ht="19.5" customHeight="1" x14ac:dyDescent="0.2">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c r="AD1" s="7"/>
      <c r="AF1" s="7"/>
      <c r="AG1" s="7"/>
    </row>
    <row r="2" spans="1:33" x14ac:dyDescent="0.2">
      <c r="A2" s="11">
        <v>129</v>
      </c>
      <c r="B2" s="12" t="s">
        <v>28</v>
      </c>
      <c r="C2" s="12">
        <v>43194</v>
      </c>
      <c r="D2" s="4">
        <v>184</v>
      </c>
      <c r="E2" s="5" t="s">
        <v>58</v>
      </c>
      <c r="F2" s="4" t="s">
        <v>59</v>
      </c>
      <c r="G2" s="5" t="s">
        <v>60</v>
      </c>
      <c r="H2" s="4" t="str">
        <f>"000308"</f>
        <v>000308</v>
      </c>
      <c r="I2" s="3">
        <v>43143</v>
      </c>
      <c r="J2" s="4" t="str">
        <f>"000047"</f>
        <v>000047</v>
      </c>
      <c r="K2" s="3">
        <v>43159</v>
      </c>
      <c r="L2" s="4" t="str">
        <f>"000113"</f>
        <v>000113</v>
      </c>
      <c r="M2" s="3">
        <v>43159</v>
      </c>
      <c r="N2" s="4">
        <v>17</v>
      </c>
      <c r="O2" s="4" t="str">
        <f>"000087"</f>
        <v>000087</v>
      </c>
      <c r="P2" s="3">
        <v>43191</v>
      </c>
      <c r="Q2" s="6">
        <v>19.477</v>
      </c>
      <c r="R2" s="6">
        <v>0.89</v>
      </c>
      <c r="S2" s="6">
        <v>18.587</v>
      </c>
      <c r="T2" s="4">
        <v>1</v>
      </c>
      <c r="U2" s="3">
        <v>43194</v>
      </c>
      <c r="V2" s="4">
        <v>9845222227</v>
      </c>
      <c r="W2" s="5" t="s">
        <v>61</v>
      </c>
      <c r="X2" s="4" t="s">
        <v>43</v>
      </c>
      <c r="Y2" s="5" t="s">
        <v>44</v>
      </c>
      <c r="Z2" s="4" t="s">
        <v>62</v>
      </c>
      <c r="AA2" s="5" t="s">
        <v>63</v>
      </c>
      <c r="AB2" s="6">
        <v>0.19477</v>
      </c>
      <c r="AD2" s="7"/>
      <c r="AF2" s="7"/>
      <c r="AG2" s="7"/>
    </row>
    <row r="3" spans="1:33" x14ac:dyDescent="0.2">
      <c r="A3" s="11">
        <v>130</v>
      </c>
      <c r="B3" s="12" t="s">
        <v>28</v>
      </c>
      <c r="C3" s="12">
        <v>43194</v>
      </c>
      <c r="D3" s="4">
        <v>184</v>
      </c>
      <c r="E3" s="5" t="s">
        <v>58</v>
      </c>
      <c r="F3" s="4" t="s">
        <v>64</v>
      </c>
      <c r="G3" s="5" t="s">
        <v>65</v>
      </c>
      <c r="H3" s="4" t="str">
        <f>"000312"</f>
        <v>000312</v>
      </c>
      <c r="I3" s="3">
        <v>43143</v>
      </c>
      <c r="J3" s="4" t="str">
        <f>"000041"</f>
        <v>000041</v>
      </c>
      <c r="K3" s="3">
        <v>43155</v>
      </c>
      <c r="L3" s="4" t="str">
        <f>"000112"</f>
        <v>000112</v>
      </c>
      <c r="M3" s="3">
        <v>43159</v>
      </c>
      <c r="N3" s="4">
        <v>17</v>
      </c>
      <c r="O3" s="4" t="str">
        <f>"000088"</f>
        <v>000088</v>
      </c>
      <c r="P3" s="3">
        <v>43191</v>
      </c>
      <c r="Q3" s="6">
        <v>23.681000000000001</v>
      </c>
      <c r="R3" s="6">
        <v>1.1154999999999999</v>
      </c>
      <c r="S3" s="6">
        <v>22.5655</v>
      </c>
      <c r="T3" s="4">
        <v>1</v>
      </c>
      <c r="U3" s="3">
        <v>43194</v>
      </c>
      <c r="V3" s="4">
        <v>9845222227</v>
      </c>
      <c r="W3" s="5" t="s">
        <v>61</v>
      </c>
      <c r="X3" s="4" t="s">
        <v>43</v>
      </c>
      <c r="Y3" s="5" t="s">
        <v>44</v>
      </c>
      <c r="Z3" s="4" t="s">
        <v>62</v>
      </c>
      <c r="AA3" s="5" t="s">
        <v>63</v>
      </c>
      <c r="AB3" s="6">
        <v>0.23681000000000002</v>
      </c>
      <c r="AD3" s="7"/>
      <c r="AF3" s="7"/>
      <c r="AG3" s="7"/>
    </row>
    <row r="4" spans="1:33" x14ac:dyDescent="0.2">
      <c r="A4" s="11">
        <v>131</v>
      </c>
      <c r="B4" s="12" t="s">
        <v>28</v>
      </c>
      <c r="C4" s="12">
        <v>43194</v>
      </c>
      <c r="D4" s="4">
        <v>184</v>
      </c>
      <c r="E4" s="5" t="s">
        <v>58</v>
      </c>
      <c r="F4" s="4" t="s">
        <v>66</v>
      </c>
      <c r="G4" s="5" t="s">
        <v>67</v>
      </c>
      <c r="H4" s="4" t="str">
        <f>"000307"</f>
        <v>000307</v>
      </c>
      <c r="I4" s="3">
        <v>43143</v>
      </c>
      <c r="J4" s="4" t="str">
        <f>"000048"</f>
        <v>000048</v>
      </c>
      <c r="K4" s="3">
        <v>43159</v>
      </c>
      <c r="L4" s="4" t="str">
        <f>"000111"</f>
        <v>000111</v>
      </c>
      <c r="M4" s="3">
        <v>43159</v>
      </c>
      <c r="N4" s="4">
        <v>17</v>
      </c>
      <c r="O4" s="4" t="str">
        <f>"000091"</f>
        <v>000091</v>
      </c>
      <c r="P4" s="3">
        <v>43191</v>
      </c>
      <c r="Q4" s="6">
        <v>30.25</v>
      </c>
      <c r="R4" s="6">
        <v>1.363</v>
      </c>
      <c r="S4" s="6">
        <v>28.887</v>
      </c>
      <c r="T4" s="4">
        <v>1</v>
      </c>
      <c r="U4" s="3">
        <v>43194</v>
      </c>
      <c r="V4" s="4">
        <v>9845222227</v>
      </c>
      <c r="W4" s="5" t="s">
        <v>61</v>
      </c>
      <c r="X4" s="4" t="s">
        <v>43</v>
      </c>
      <c r="Y4" s="5" t="s">
        <v>44</v>
      </c>
      <c r="Z4" s="4" t="s">
        <v>62</v>
      </c>
      <c r="AA4" s="5" t="s">
        <v>63</v>
      </c>
      <c r="AB4" s="6">
        <v>0.30249999999999999</v>
      </c>
      <c r="AD4" s="7"/>
      <c r="AF4" s="7"/>
      <c r="AG4" s="7"/>
    </row>
    <row r="5" spans="1:33" x14ac:dyDescent="0.2">
      <c r="A5" s="11">
        <v>132</v>
      </c>
      <c r="B5" s="12" t="s">
        <v>28</v>
      </c>
      <c r="C5" s="12">
        <v>43194</v>
      </c>
      <c r="D5" s="4">
        <v>184</v>
      </c>
      <c r="E5" s="5" t="s">
        <v>58</v>
      </c>
      <c r="F5" s="4" t="s">
        <v>68</v>
      </c>
      <c r="G5" s="5" t="s">
        <v>69</v>
      </c>
      <c r="H5" s="4" t="str">
        <f>"000309"</f>
        <v>000309</v>
      </c>
      <c r="I5" s="3">
        <v>43143</v>
      </c>
      <c r="J5" s="4" t="str">
        <f>"000040"</f>
        <v>000040</v>
      </c>
      <c r="K5" s="3">
        <v>43155</v>
      </c>
      <c r="L5" s="4" t="str">
        <f>"000116"</f>
        <v>000116</v>
      </c>
      <c r="M5" s="3">
        <v>43159</v>
      </c>
      <c r="N5" s="4">
        <v>17</v>
      </c>
      <c r="O5" s="4" t="str">
        <f>"000092"</f>
        <v>000092</v>
      </c>
      <c r="P5" s="3">
        <v>43191</v>
      </c>
      <c r="Q5" s="6">
        <v>19.045000000000002</v>
      </c>
      <c r="R5" s="6">
        <v>0.88</v>
      </c>
      <c r="S5" s="6">
        <v>18.164999999999999</v>
      </c>
      <c r="T5" s="4">
        <v>1</v>
      </c>
      <c r="U5" s="3">
        <v>43194</v>
      </c>
      <c r="V5" s="4">
        <v>9845222227</v>
      </c>
      <c r="W5" s="5" t="s">
        <v>61</v>
      </c>
      <c r="X5" s="4" t="s">
        <v>43</v>
      </c>
      <c r="Y5" s="5" t="s">
        <v>44</v>
      </c>
      <c r="Z5" s="4" t="s">
        <v>62</v>
      </c>
      <c r="AA5" s="5" t="s">
        <v>63</v>
      </c>
      <c r="AB5" s="6">
        <v>0.19045000000000001</v>
      </c>
      <c r="AD5" s="7"/>
      <c r="AF5" s="7"/>
      <c r="AG5" s="7"/>
    </row>
    <row r="6" spans="1:33" x14ac:dyDescent="0.2">
      <c r="A6" s="11">
        <v>133</v>
      </c>
      <c r="B6" s="12" t="s">
        <v>28</v>
      </c>
      <c r="C6" s="12">
        <v>43194</v>
      </c>
      <c r="D6" s="4">
        <v>184</v>
      </c>
      <c r="E6" s="5" t="s">
        <v>58</v>
      </c>
      <c r="F6" s="4" t="s">
        <v>70</v>
      </c>
      <c r="G6" s="5" t="s">
        <v>71</v>
      </c>
      <c r="H6" s="4" t="str">
        <f>"000314"</f>
        <v>000314</v>
      </c>
      <c r="I6" s="3">
        <v>43143</v>
      </c>
      <c r="J6" s="4" t="str">
        <f>"000039"</f>
        <v>000039</v>
      </c>
      <c r="K6" s="3">
        <v>43155</v>
      </c>
      <c r="L6" s="4" t="str">
        <f>"000105"</f>
        <v>000105</v>
      </c>
      <c r="M6" s="3">
        <v>43159</v>
      </c>
      <c r="N6" s="4">
        <v>17</v>
      </c>
      <c r="O6" s="4" t="str">
        <f>"000093"</f>
        <v>000093</v>
      </c>
      <c r="P6" s="3">
        <v>43191</v>
      </c>
      <c r="Q6" s="6">
        <v>44.58</v>
      </c>
      <c r="R6" s="6">
        <v>2.0954000000000002</v>
      </c>
      <c r="S6" s="6">
        <v>42.4846</v>
      </c>
      <c r="T6" s="4">
        <v>1</v>
      </c>
      <c r="U6" s="3">
        <v>43194</v>
      </c>
      <c r="V6" s="4">
        <v>9845222227</v>
      </c>
      <c r="W6" s="5" t="s">
        <v>61</v>
      </c>
      <c r="X6" s="4" t="s">
        <v>43</v>
      </c>
      <c r="Y6" s="5" t="s">
        <v>44</v>
      </c>
      <c r="Z6" s="4" t="s">
        <v>62</v>
      </c>
      <c r="AA6" s="5" t="s">
        <v>63</v>
      </c>
      <c r="AB6" s="6">
        <v>0.44579999999999997</v>
      </c>
      <c r="AD6" s="7"/>
      <c r="AF6" s="7"/>
      <c r="AG6" s="7"/>
    </row>
    <row r="7" spans="1:33" x14ac:dyDescent="0.2">
      <c r="A7" s="11">
        <v>134</v>
      </c>
      <c r="B7" s="12" t="s">
        <v>28</v>
      </c>
      <c r="C7" s="12">
        <v>43194</v>
      </c>
      <c r="D7" s="4">
        <v>184</v>
      </c>
      <c r="E7" s="5" t="s">
        <v>58</v>
      </c>
      <c r="F7" s="4" t="s">
        <v>72</v>
      </c>
      <c r="G7" s="5" t="s">
        <v>73</v>
      </c>
      <c r="H7" s="4" t="str">
        <f>"000310"</f>
        <v>000310</v>
      </c>
      <c r="I7" s="3">
        <v>43143</v>
      </c>
      <c r="J7" s="4" t="str">
        <f>"000045"</f>
        <v>000045</v>
      </c>
      <c r="K7" s="3">
        <v>43155</v>
      </c>
      <c r="L7" s="4" t="str">
        <f>""</f>
        <v/>
      </c>
      <c r="M7" s="3"/>
      <c r="N7" s="4">
        <v>17</v>
      </c>
      <c r="O7" s="4" t="str">
        <f>""</f>
        <v/>
      </c>
      <c r="P7" s="3"/>
      <c r="Q7" s="6">
        <v>24.92</v>
      </c>
      <c r="R7" s="6">
        <v>1.17</v>
      </c>
      <c r="S7" s="6">
        <v>23.75</v>
      </c>
      <c r="T7" s="4">
        <v>1</v>
      </c>
      <c r="U7" s="3">
        <v>43194</v>
      </c>
      <c r="V7" s="4">
        <v>9845222227</v>
      </c>
      <c r="W7" s="5" t="s">
        <v>61</v>
      </c>
      <c r="X7" s="4" t="s">
        <v>43</v>
      </c>
      <c r="Y7" s="5" t="s">
        <v>44</v>
      </c>
      <c r="Z7" s="4" t="s">
        <v>62</v>
      </c>
      <c r="AA7" s="5" t="s">
        <v>63</v>
      </c>
      <c r="AB7" s="6">
        <v>0.2492</v>
      </c>
      <c r="AD7" s="7"/>
      <c r="AF7" s="7"/>
      <c r="AG7" s="7"/>
    </row>
    <row r="8" spans="1:33" x14ac:dyDescent="0.2">
      <c r="A8" s="11">
        <v>135</v>
      </c>
      <c r="B8" s="12" t="s">
        <v>28</v>
      </c>
      <c r="C8" s="12">
        <v>43194</v>
      </c>
      <c r="D8" s="4">
        <v>184</v>
      </c>
      <c r="E8" s="5" t="s">
        <v>58</v>
      </c>
      <c r="F8" s="4" t="s">
        <v>74</v>
      </c>
      <c r="G8" s="5" t="s">
        <v>75</v>
      </c>
      <c r="H8" s="4" t="str">
        <f>"000313"</f>
        <v>000313</v>
      </c>
      <c r="I8" s="3">
        <v>43143</v>
      </c>
      <c r="J8" s="4" t="str">
        <f>"000042"</f>
        <v>000042</v>
      </c>
      <c r="K8" s="3">
        <v>43155</v>
      </c>
      <c r="L8" s="4" t="str">
        <f>"000115"</f>
        <v>000115</v>
      </c>
      <c r="M8" s="3">
        <v>43159</v>
      </c>
      <c r="N8" s="4">
        <v>17</v>
      </c>
      <c r="O8" s="4" t="str">
        <f>"000097"</f>
        <v>000097</v>
      </c>
      <c r="P8" s="3">
        <v>43191</v>
      </c>
      <c r="Q8" s="6">
        <v>24.2</v>
      </c>
      <c r="R8" s="6">
        <v>1.1412</v>
      </c>
      <c r="S8" s="6">
        <v>23.058800000000002</v>
      </c>
      <c r="T8" s="4">
        <v>1</v>
      </c>
      <c r="U8" s="3">
        <v>43194</v>
      </c>
      <c r="V8" s="4">
        <v>9845222227</v>
      </c>
      <c r="W8" s="5" t="s">
        <v>61</v>
      </c>
      <c r="X8" s="4" t="s">
        <v>43</v>
      </c>
      <c r="Y8" s="5" t="s">
        <v>44</v>
      </c>
      <c r="Z8" s="4" t="s">
        <v>62</v>
      </c>
      <c r="AA8" s="5" t="s">
        <v>63</v>
      </c>
      <c r="AB8" s="6">
        <v>0.24199999999999999</v>
      </c>
      <c r="AD8" s="7"/>
      <c r="AF8" s="7"/>
      <c r="AG8" s="7"/>
    </row>
    <row r="9" spans="1:33" x14ac:dyDescent="0.2">
      <c r="A9" s="11">
        <v>229</v>
      </c>
      <c r="B9" s="12" t="s">
        <v>28</v>
      </c>
      <c r="C9" s="12">
        <v>43195</v>
      </c>
      <c r="D9" s="4">
        <v>184</v>
      </c>
      <c r="E9" s="5" t="s">
        <v>58</v>
      </c>
      <c r="F9" s="4" t="s">
        <v>76</v>
      </c>
      <c r="G9" s="5" t="s">
        <v>77</v>
      </c>
      <c r="H9" s="4" t="str">
        <f>"000008"</f>
        <v>000008</v>
      </c>
      <c r="I9" s="3">
        <v>42992</v>
      </c>
      <c r="J9" s="4" t="str">
        <f>"000058"</f>
        <v>000058</v>
      </c>
      <c r="K9" s="3">
        <v>43171</v>
      </c>
      <c r="L9" s="4" t="str">
        <f>"000145"</f>
        <v>000145</v>
      </c>
      <c r="M9" s="3">
        <v>43174</v>
      </c>
      <c r="N9" s="4">
        <v>17</v>
      </c>
      <c r="O9" s="4" t="str">
        <f>"000277"</f>
        <v>000277</v>
      </c>
      <c r="P9" s="3">
        <v>43195</v>
      </c>
      <c r="Q9" s="6">
        <v>11.499000000000001</v>
      </c>
      <c r="R9" s="6">
        <v>0.94850000000000001</v>
      </c>
      <c r="S9" s="6">
        <v>10.5505</v>
      </c>
      <c r="T9" s="4">
        <v>5</v>
      </c>
      <c r="U9" s="3">
        <v>43195</v>
      </c>
      <c r="V9" s="4">
        <v>9742394755</v>
      </c>
      <c r="W9" s="5" t="s">
        <v>78</v>
      </c>
      <c r="X9" s="4" t="s">
        <v>37</v>
      </c>
      <c r="Y9" s="5" t="s">
        <v>38</v>
      </c>
      <c r="Z9" s="4" t="s">
        <v>62</v>
      </c>
      <c r="AA9" s="5" t="s">
        <v>63</v>
      </c>
      <c r="AB9" s="6">
        <v>0.11499000000000001</v>
      </c>
      <c r="AD9" s="7"/>
      <c r="AF9" s="7"/>
      <c r="AG9" s="7"/>
    </row>
    <row r="10" spans="1:33" x14ac:dyDescent="0.2">
      <c r="A10" s="11">
        <v>272</v>
      </c>
      <c r="B10" s="12" t="s">
        <v>28</v>
      </c>
      <c r="C10" s="12">
        <v>43196</v>
      </c>
      <c r="D10" s="4">
        <v>184</v>
      </c>
      <c r="E10" s="5" t="s">
        <v>58</v>
      </c>
      <c r="F10" s="4" t="s">
        <v>79</v>
      </c>
      <c r="G10" s="5" t="s">
        <v>80</v>
      </c>
      <c r="H10" s="4" t="str">
        <f>"000306"</f>
        <v>000306</v>
      </c>
      <c r="I10" s="3">
        <v>43143</v>
      </c>
      <c r="J10" s="4" t="str">
        <f>"000056"</f>
        <v>000056</v>
      </c>
      <c r="K10" s="3">
        <v>43165</v>
      </c>
      <c r="L10" s="4" t="str">
        <f>"000134"</f>
        <v>000134</v>
      </c>
      <c r="M10" s="3">
        <v>43166</v>
      </c>
      <c r="N10" s="4">
        <v>17</v>
      </c>
      <c r="O10" s="4" t="str">
        <f>"000311"</f>
        <v>000311</v>
      </c>
      <c r="P10" s="3">
        <v>43196</v>
      </c>
      <c r="Q10" s="6">
        <v>30</v>
      </c>
      <c r="R10" s="6">
        <v>1.4231</v>
      </c>
      <c r="S10" s="6">
        <v>28.576899999999998</v>
      </c>
      <c r="T10" s="4">
        <v>7</v>
      </c>
      <c r="U10" s="3">
        <v>43196</v>
      </c>
      <c r="V10" s="4">
        <v>9845222227</v>
      </c>
      <c r="W10" s="5" t="s">
        <v>61</v>
      </c>
      <c r="X10" s="4" t="s">
        <v>43</v>
      </c>
      <c r="Y10" s="5" t="s">
        <v>44</v>
      </c>
      <c r="Z10" s="4" t="s">
        <v>62</v>
      </c>
      <c r="AA10" s="5" t="s">
        <v>63</v>
      </c>
      <c r="AB10" s="6">
        <v>0.3</v>
      </c>
      <c r="AD10" s="7"/>
      <c r="AF10" s="7"/>
      <c r="AG10" s="7"/>
    </row>
    <row r="11" spans="1:33" x14ac:dyDescent="0.2">
      <c r="A11" s="11">
        <v>273</v>
      </c>
      <c r="B11" s="12" t="s">
        <v>28</v>
      </c>
      <c r="C11" s="12">
        <v>43196</v>
      </c>
      <c r="D11" s="4">
        <v>184</v>
      </c>
      <c r="E11" s="5" t="s">
        <v>58</v>
      </c>
      <c r="F11" s="4" t="s">
        <v>81</v>
      </c>
      <c r="G11" s="5" t="s">
        <v>82</v>
      </c>
      <c r="H11" s="4" t="str">
        <f>"000311"</f>
        <v>000311</v>
      </c>
      <c r="I11" s="3">
        <v>43143</v>
      </c>
      <c r="J11" s="4" t="str">
        <f>"000043"</f>
        <v>000043</v>
      </c>
      <c r="K11" s="3">
        <v>43155</v>
      </c>
      <c r="L11" s="4" t="str">
        <f>"000135"</f>
        <v>000135</v>
      </c>
      <c r="M11" s="3">
        <v>43166</v>
      </c>
      <c r="N11" s="4">
        <v>17</v>
      </c>
      <c r="O11" s="4" t="str">
        <f>"000312"</f>
        <v>000312</v>
      </c>
      <c r="P11" s="3">
        <v>43196</v>
      </c>
      <c r="Q11" s="6">
        <v>28.52</v>
      </c>
      <c r="R11" s="6">
        <v>1.3537999999999999</v>
      </c>
      <c r="S11" s="6">
        <v>27.1662</v>
      </c>
      <c r="T11" s="4">
        <v>7</v>
      </c>
      <c r="U11" s="3">
        <v>43196</v>
      </c>
      <c r="V11" s="4">
        <v>9845222227</v>
      </c>
      <c r="W11" s="5" t="s">
        <v>61</v>
      </c>
      <c r="X11" s="4" t="s">
        <v>43</v>
      </c>
      <c r="Y11" s="5" t="s">
        <v>44</v>
      </c>
      <c r="Z11" s="4" t="s">
        <v>62</v>
      </c>
      <c r="AA11" s="5" t="s">
        <v>63</v>
      </c>
      <c r="AB11" s="6">
        <v>0.28520000000000001</v>
      </c>
      <c r="AD11" s="7"/>
      <c r="AF11" s="7"/>
      <c r="AG11" s="7"/>
    </row>
    <row r="12" spans="1:33" x14ac:dyDescent="0.2">
      <c r="A12" s="11">
        <v>465</v>
      </c>
      <c r="B12" s="12" t="s">
        <v>28</v>
      </c>
      <c r="C12" s="12">
        <v>43200</v>
      </c>
      <c r="D12" s="4">
        <v>184</v>
      </c>
      <c r="E12" s="5" t="s">
        <v>58</v>
      </c>
      <c r="F12" s="4" t="s">
        <v>83</v>
      </c>
      <c r="G12" s="5" t="s">
        <v>84</v>
      </c>
      <c r="H12" s="4" t="str">
        <f>"000027"</f>
        <v>000027</v>
      </c>
      <c r="I12" s="3">
        <v>42506</v>
      </c>
      <c r="J12" s="4" t="str">
        <f>"000038"</f>
        <v>000038</v>
      </c>
      <c r="K12" s="3">
        <v>42605</v>
      </c>
      <c r="L12" s="4" t="str">
        <f>"000114"</f>
        <v>000114</v>
      </c>
      <c r="M12" s="3">
        <v>42605</v>
      </c>
      <c r="N12" s="4">
        <v>16</v>
      </c>
      <c r="O12" s="4" t="str">
        <f>"000169"</f>
        <v>000169</v>
      </c>
      <c r="P12" s="3">
        <v>43194</v>
      </c>
      <c r="Q12" s="6">
        <v>24.360600000000002</v>
      </c>
      <c r="R12" s="6">
        <v>3.3466999999999998</v>
      </c>
      <c r="S12" s="6">
        <v>21.0139</v>
      </c>
      <c r="T12" s="4">
        <v>11</v>
      </c>
      <c r="U12" s="3">
        <v>43200</v>
      </c>
      <c r="V12" s="4">
        <v>9874560321</v>
      </c>
      <c r="W12" s="5" t="s">
        <v>85</v>
      </c>
      <c r="X12" s="4" t="s">
        <v>50</v>
      </c>
      <c r="Y12" s="5" t="s">
        <v>51</v>
      </c>
      <c r="Z12" s="4" t="s">
        <v>62</v>
      </c>
      <c r="AA12" s="5" t="s">
        <v>63</v>
      </c>
      <c r="AB12" s="6">
        <v>0.24360600000000002</v>
      </c>
      <c r="AD12" s="7"/>
      <c r="AF12" s="7"/>
      <c r="AG12" s="7"/>
    </row>
    <row r="13" spans="1:33" x14ac:dyDescent="0.2">
      <c r="A13" s="11">
        <v>556</v>
      </c>
      <c r="B13" s="12" t="s">
        <v>28</v>
      </c>
      <c r="C13" s="12">
        <v>43203</v>
      </c>
      <c r="D13" s="4">
        <v>184</v>
      </c>
      <c r="E13" s="5" t="s">
        <v>58</v>
      </c>
      <c r="F13" s="4" t="s">
        <v>86</v>
      </c>
      <c r="G13" s="5" t="s">
        <v>87</v>
      </c>
      <c r="H13" s="4" t="str">
        <f>"000091"</f>
        <v>000091</v>
      </c>
      <c r="I13" s="3">
        <v>42531</v>
      </c>
      <c r="J13" s="4" t="str">
        <f>"000083"</f>
        <v>000083</v>
      </c>
      <c r="K13" s="3">
        <v>42670</v>
      </c>
      <c r="L13" s="4" t="str">
        <f>"000208"</f>
        <v>000208</v>
      </c>
      <c r="M13" s="3">
        <v>42690</v>
      </c>
      <c r="N13" s="4">
        <v>16</v>
      </c>
      <c r="O13" s="4" t="str">
        <f>"000378"</f>
        <v>000378</v>
      </c>
      <c r="P13" s="3">
        <v>43196</v>
      </c>
      <c r="Q13" s="6">
        <v>19.48</v>
      </c>
      <c r="R13" s="6">
        <v>2.48</v>
      </c>
      <c r="S13" s="6">
        <v>17</v>
      </c>
      <c r="T13" s="4">
        <v>20</v>
      </c>
      <c r="U13" s="3">
        <v>43203</v>
      </c>
      <c r="V13" s="4">
        <v>9845154892</v>
      </c>
      <c r="W13" s="5" t="s">
        <v>88</v>
      </c>
      <c r="X13" s="4" t="s">
        <v>50</v>
      </c>
      <c r="Y13" s="5" t="s">
        <v>51</v>
      </c>
      <c r="Z13" s="4" t="s">
        <v>62</v>
      </c>
      <c r="AA13" s="5" t="s">
        <v>63</v>
      </c>
      <c r="AB13" s="6">
        <v>0.1948</v>
      </c>
      <c r="AD13" s="7"/>
      <c r="AF13" s="7"/>
      <c r="AG13" s="7"/>
    </row>
    <row r="14" spans="1:33" x14ac:dyDescent="0.2">
      <c r="A14" s="11">
        <v>755</v>
      </c>
      <c r="B14" s="12" t="s">
        <v>28</v>
      </c>
      <c r="C14" s="12">
        <v>43216</v>
      </c>
      <c r="D14" s="4">
        <v>184</v>
      </c>
      <c r="E14" s="5" t="s">
        <v>58</v>
      </c>
      <c r="F14" s="4" t="s">
        <v>89</v>
      </c>
      <c r="G14" s="5" t="s">
        <v>90</v>
      </c>
      <c r="H14" s="4" t="str">
        <f>"000216"</f>
        <v>000216</v>
      </c>
      <c r="I14" s="3">
        <v>42411</v>
      </c>
      <c r="J14" s="4" t="str">
        <f>"000071"</f>
        <v>000071</v>
      </c>
      <c r="K14" s="3">
        <v>42627</v>
      </c>
      <c r="L14" s="4" t="str">
        <f>"000170"</f>
        <v>000170</v>
      </c>
      <c r="M14" s="3">
        <v>42627</v>
      </c>
      <c r="N14" s="4">
        <v>16</v>
      </c>
      <c r="O14" s="4" t="str">
        <f>"000688"</f>
        <v>000688</v>
      </c>
      <c r="P14" s="3">
        <v>43215</v>
      </c>
      <c r="Q14" s="6">
        <v>14.563499999999999</v>
      </c>
      <c r="R14" s="6">
        <v>1.7698</v>
      </c>
      <c r="S14" s="6">
        <v>12.793699999999999</v>
      </c>
      <c r="T14" s="4">
        <v>28</v>
      </c>
      <c r="U14" s="3">
        <v>43216</v>
      </c>
      <c r="V14" s="4">
        <v>9845752097</v>
      </c>
      <c r="W14" s="5" t="s">
        <v>91</v>
      </c>
      <c r="X14" s="4" t="s">
        <v>30</v>
      </c>
      <c r="Y14" s="5" t="s">
        <v>31</v>
      </c>
      <c r="Z14" s="4" t="s">
        <v>62</v>
      </c>
      <c r="AA14" s="5" t="s">
        <v>63</v>
      </c>
      <c r="AB14" s="6">
        <v>0.14563499999999999</v>
      </c>
      <c r="AD14" s="7"/>
      <c r="AF14" s="7"/>
      <c r="AG14" s="7"/>
    </row>
    <row r="15" spans="1:33" x14ac:dyDescent="0.2">
      <c r="A15" s="11">
        <v>851</v>
      </c>
      <c r="B15" s="12" t="s">
        <v>35</v>
      </c>
      <c r="C15" s="12">
        <v>43225</v>
      </c>
      <c r="D15" s="4">
        <v>184</v>
      </c>
      <c r="E15" s="5" t="s">
        <v>58</v>
      </c>
      <c r="F15" s="4" t="s">
        <v>92</v>
      </c>
      <c r="G15" s="5" t="s">
        <v>93</v>
      </c>
      <c r="H15" s="4" t="str">
        <f>"000108"</f>
        <v>000108</v>
      </c>
      <c r="I15" s="3">
        <v>42598</v>
      </c>
      <c r="J15" s="4" t="str">
        <f>"000101"</f>
        <v>000101</v>
      </c>
      <c r="K15" s="3">
        <v>42793</v>
      </c>
      <c r="L15" s="4" t="str">
        <f>"000272"</f>
        <v>000272</v>
      </c>
      <c r="M15" s="3">
        <v>42794</v>
      </c>
      <c r="N15" s="4">
        <v>15</v>
      </c>
      <c r="O15" s="4" t="str">
        <f>"001028"</f>
        <v>001028</v>
      </c>
      <c r="P15" s="3">
        <v>43223</v>
      </c>
      <c r="Q15" s="6">
        <v>20.79</v>
      </c>
      <c r="R15" s="6">
        <v>2.6335000000000002</v>
      </c>
      <c r="S15" s="6">
        <v>18.156500000000001</v>
      </c>
      <c r="T15" s="4">
        <v>38</v>
      </c>
      <c r="U15" s="3">
        <v>43225</v>
      </c>
      <c r="V15" s="4">
        <v>9448644063</v>
      </c>
      <c r="W15" s="5" t="s">
        <v>94</v>
      </c>
      <c r="X15" s="4" t="s">
        <v>41</v>
      </c>
      <c r="Y15" s="5" t="s">
        <v>40</v>
      </c>
      <c r="Z15" s="4" t="s">
        <v>62</v>
      </c>
      <c r="AA15" s="5" t="s">
        <v>63</v>
      </c>
      <c r="AB15" s="6">
        <v>0.2079</v>
      </c>
      <c r="AD15" s="7"/>
      <c r="AF15" s="7"/>
      <c r="AG15" s="7"/>
    </row>
    <row r="16" spans="1:33" x14ac:dyDescent="0.2">
      <c r="A16" s="11">
        <v>852</v>
      </c>
      <c r="B16" s="12" t="s">
        <v>35</v>
      </c>
      <c r="C16" s="12">
        <v>43225</v>
      </c>
      <c r="D16" s="4">
        <v>184</v>
      </c>
      <c r="E16" s="5" t="s">
        <v>58</v>
      </c>
      <c r="F16" s="4" t="s">
        <v>95</v>
      </c>
      <c r="G16" s="5" t="s">
        <v>96</v>
      </c>
      <c r="H16" s="4" t="str">
        <f>"000051"</f>
        <v>000051</v>
      </c>
      <c r="I16" s="3">
        <v>42508</v>
      </c>
      <c r="J16" s="4" t="str">
        <f>"000059"</f>
        <v>000059</v>
      </c>
      <c r="K16" s="3">
        <v>42611</v>
      </c>
      <c r="L16" s="4" t="str">
        <f>"000167"</f>
        <v>000167</v>
      </c>
      <c r="M16" s="3">
        <v>42627</v>
      </c>
      <c r="N16" s="4">
        <v>16</v>
      </c>
      <c r="O16" s="4" t="str">
        <f>"001074"</f>
        <v>001074</v>
      </c>
      <c r="P16" s="3">
        <v>43224</v>
      </c>
      <c r="Q16" s="6">
        <v>19.578600000000002</v>
      </c>
      <c r="R16" s="6">
        <v>2.6964000000000001</v>
      </c>
      <c r="S16" s="6">
        <v>16.882200000000001</v>
      </c>
      <c r="T16" s="4">
        <v>38</v>
      </c>
      <c r="U16" s="3">
        <v>43225</v>
      </c>
      <c r="V16" s="4">
        <v>9742345283</v>
      </c>
      <c r="W16" s="5" t="s">
        <v>97</v>
      </c>
      <c r="X16" s="4" t="s">
        <v>50</v>
      </c>
      <c r="Y16" s="5" t="s">
        <v>51</v>
      </c>
      <c r="Z16" s="4" t="s">
        <v>62</v>
      </c>
      <c r="AA16" s="5" t="s">
        <v>63</v>
      </c>
      <c r="AB16" s="6">
        <v>0.19578600000000002</v>
      </c>
      <c r="AD16" s="7"/>
      <c r="AF16" s="7"/>
      <c r="AG16" s="7"/>
    </row>
    <row r="17" spans="1:33" x14ac:dyDescent="0.2">
      <c r="A17" s="11">
        <v>1264</v>
      </c>
      <c r="B17" s="12" t="s">
        <v>35</v>
      </c>
      <c r="C17" s="12">
        <v>43238</v>
      </c>
      <c r="D17" s="4">
        <v>184</v>
      </c>
      <c r="E17" s="5" t="s">
        <v>58</v>
      </c>
      <c r="F17" s="4" t="s">
        <v>98</v>
      </c>
      <c r="G17" s="5" t="s">
        <v>99</v>
      </c>
      <c r="H17" s="4" t="str">
        <f>"000026"</f>
        <v>000026</v>
      </c>
      <c r="I17" s="3">
        <v>42506</v>
      </c>
      <c r="J17" s="4" t="str">
        <f>"000037"</f>
        <v>000037</v>
      </c>
      <c r="K17" s="3">
        <v>42605</v>
      </c>
      <c r="L17" s="4" t="str">
        <f>"000113"</f>
        <v>000113</v>
      </c>
      <c r="M17" s="3">
        <v>42605</v>
      </c>
      <c r="N17" s="4">
        <v>16</v>
      </c>
      <c r="O17" s="4" t="str">
        <f>"001415"</f>
        <v>001415</v>
      </c>
      <c r="P17" s="3">
        <v>43236</v>
      </c>
      <c r="Q17" s="6">
        <v>14.6119</v>
      </c>
      <c r="R17" s="6">
        <v>2.0077500000000001</v>
      </c>
      <c r="S17" s="6">
        <v>12.604150000000001</v>
      </c>
      <c r="T17" s="4">
        <v>52</v>
      </c>
      <c r="U17" s="3">
        <v>43238</v>
      </c>
      <c r="V17" s="4">
        <v>9874563201</v>
      </c>
      <c r="W17" s="5" t="s">
        <v>100</v>
      </c>
      <c r="X17" s="4" t="s">
        <v>50</v>
      </c>
      <c r="Y17" s="5" t="s">
        <v>51</v>
      </c>
      <c r="Z17" s="4" t="s">
        <v>62</v>
      </c>
      <c r="AA17" s="5" t="s">
        <v>63</v>
      </c>
      <c r="AB17" s="6">
        <v>0.146119</v>
      </c>
      <c r="AD17" s="7"/>
      <c r="AF17" s="7"/>
      <c r="AG17" s="7"/>
    </row>
    <row r="18" spans="1:33" x14ac:dyDescent="0.2">
      <c r="A18" s="11">
        <v>1918</v>
      </c>
      <c r="B18" s="12" t="s">
        <v>42</v>
      </c>
      <c r="C18" s="12">
        <v>43257</v>
      </c>
      <c r="D18" s="4">
        <v>184</v>
      </c>
      <c r="E18" s="5" t="s">
        <v>58</v>
      </c>
      <c r="F18" s="4" t="s">
        <v>101</v>
      </c>
      <c r="G18" s="5" t="s">
        <v>102</v>
      </c>
      <c r="H18" s="4" t="str">
        <f>"000073"</f>
        <v>000073</v>
      </c>
      <c r="I18" s="3">
        <v>42516</v>
      </c>
      <c r="J18" s="4" t="str">
        <f>"000066"</f>
        <v>000066</v>
      </c>
      <c r="K18" s="3">
        <v>42627</v>
      </c>
      <c r="L18" s="4" t="str">
        <f>"000163"</f>
        <v>000163</v>
      </c>
      <c r="M18" s="3">
        <v>42627</v>
      </c>
      <c r="N18" s="4">
        <v>16</v>
      </c>
      <c r="O18" s="4" t="str">
        <f>"002133"</f>
        <v>002133</v>
      </c>
      <c r="P18" s="3">
        <v>43255</v>
      </c>
      <c r="Q18" s="6">
        <v>34.900300000000001</v>
      </c>
      <c r="R18" s="6">
        <v>4.7911999999999999</v>
      </c>
      <c r="S18" s="6">
        <v>30.109100000000002</v>
      </c>
      <c r="T18" s="4">
        <v>71</v>
      </c>
      <c r="U18" s="3">
        <v>43257</v>
      </c>
      <c r="V18" s="4">
        <v>9448644063</v>
      </c>
      <c r="W18" s="5" t="s">
        <v>103</v>
      </c>
      <c r="X18" s="4" t="s">
        <v>50</v>
      </c>
      <c r="Y18" s="5" t="s">
        <v>51</v>
      </c>
      <c r="Z18" s="4" t="s">
        <v>62</v>
      </c>
      <c r="AA18" s="5" t="s">
        <v>63</v>
      </c>
      <c r="AB18" s="6">
        <v>0.34900300000000001</v>
      </c>
      <c r="AD18" s="7"/>
      <c r="AF18" s="7"/>
      <c r="AG18" s="7"/>
    </row>
    <row r="19" spans="1:33" x14ac:dyDescent="0.2">
      <c r="A19" s="11">
        <v>1919</v>
      </c>
      <c r="B19" s="12" t="s">
        <v>42</v>
      </c>
      <c r="C19" s="12">
        <v>43257</v>
      </c>
      <c r="D19" s="4">
        <v>184</v>
      </c>
      <c r="E19" s="5" t="s">
        <v>58</v>
      </c>
      <c r="F19" s="4" t="s">
        <v>104</v>
      </c>
      <c r="G19" s="5" t="s">
        <v>105</v>
      </c>
      <c r="H19" s="4" t="str">
        <f>"000074"</f>
        <v>000074</v>
      </c>
      <c r="I19" s="3">
        <v>42516</v>
      </c>
      <c r="J19" s="4" t="str">
        <f>"000067"</f>
        <v>000067</v>
      </c>
      <c r="K19" s="3">
        <v>42627</v>
      </c>
      <c r="L19" s="4" t="str">
        <f>"000164"</f>
        <v>000164</v>
      </c>
      <c r="M19" s="3">
        <v>42627</v>
      </c>
      <c r="N19" s="4">
        <v>16</v>
      </c>
      <c r="O19" s="4" t="str">
        <f>"002134"</f>
        <v>002134</v>
      </c>
      <c r="P19" s="3">
        <v>43255</v>
      </c>
      <c r="Q19" s="6">
        <v>44.885300000000001</v>
      </c>
      <c r="R19" s="6">
        <v>5.9943499999999998</v>
      </c>
      <c r="S19" s="6">
        <v>38.890949999999997</v>
      </c>
      <c r="T19" s="4">
        <v>71</v>
      </c>
      <c r="U19" s="3">
        <v>43257</v>
      </c>
      <c r="V19" s="4">
        <v>9448644063</v>
      </c>
      <c r="W19" s="5" t="s">
        <v>103</v>
      </c>
      <c r="X19" s="4" t="s">
        <v>50</v>
      </c>
      <c r="Y19" s="5" t="s">
        <v>51</v>
      </c>
      <c r="Z19" s="4" t="s">
        <v>62</v>
      </c>
      <c r="AA19" s="5" t="s">
        <v>63</v>
      </c>
      <c r="AB19" s="6">
        <v>0.448853</v>
      </c>
      <c r="AD19" s="7"/>
      <c r="AF19" s="7"/>
      <c r="AG19" s="7"/>
    </row>
    <row r="20" spans="1:33" x14ac:dyDescent="0.2">
      <c r="A20" s="11">
        <v>1920</v>
      </c>
      <c r="B20" s="12" t="s">
        <v>42</v>
      </c>
      <c r="C20" s="12">
        <v>43257</v>
      </c>
      <c r="D20" s="4">
        <v>184</v>
      </c>
      <c r="E20" s="5" t="s">
        <v>58</v>
      </c>
      <c r="F20" s="4" t="s">
        <v>106</v>
      </c>
      <c r="G20" s="5" t="s">
        <v>107</v>
      </c>
      <c r="H20" s="4" t="str">
        <f>"000031"</f>
        <v>000031</v>
      </c>
      <c r="I20" s="3">
        <v>42506</v>
      </c>
      <c r="J20" s="4" t="str">
        <f>"000061"</f>
        <v>000061</v>
      </c>
      <c r="K20" s="3">
        <v>42627</v>
      </c>
      <c r="L20" s="4" t="str">
        <f>"000165"</f>
        <v>000165</v>
      </c>
      <c r="M20" s="3">
        <v>42627</v>
      </c>
      <c r="N20" s="4">
        <v>16</v>
      </c>
      <c r="O20" s="4" t="str">
        <f>"002135"</f>
        <v>002135</v>
      </c>
      <c r="P20" s="3">
        <v>43255</v>
      </c>
      <c r="Q20" s="6">
        <v>24.907299999999999</v>
      </c>
      <c r="R20" s="6">
        <v>3.4068200000000002</v>
      </c>
      <c r="S20" s="6">
        <v>21.50048</v>
      </c>
      <c r="T20" s="4">
        <v>71</v>
      </c>
      <c r="U20" s="3">
        <v>43257</v>
      </c>
      <c r="V20" s="4">
        <v>9448644063</v>
      </c>
      <c r="W20" s="5" t="s">
        <v>108</v>
      </c>
      <c r="X20" s="4" t="s">
        <v>50</v>
      </c>
      <c r="Y20" s="5" t="s">
        <v>51</v>
      </c>
      <c r="Z20" s="4" t="s">
        <v>62</v>
      </c>
      <c r="AA20" s="5" t="s">
        <v>63</v>
      </c>
      <c r="AB20" s="6">
        <v>0.24907299999999999</v>
      </c>
      <c r="AD20" s="7"/>
      <c r="AF20" s="7"/>
      <c r="AG20" s="7"/>
    </row>
    <row r="21" spans="1:33" x14ac:dyDescent="0.2">
      <c r="A21" s="11">
        <v>1921</v>
      </c>
      <c r="B21" s="12" t="s">
        <v>42</v>
      </c>
      <c r="C21" s="12">
        <v>43257</v>
      </c>
      <c r="D21" s="4">
        <v>184</v>
      </c>
      <c r="E21" s="5" t="s">
        <v>58</v>
      </c>
      <c r="F21" s="4" t="s">
        <v>109</v>
      </c>
      <c r="G21" s="5" t="s">
        <v>110</v>
      </c>
      <c r="H21" s="4" t="str">
        <f>"000079"</f>
        <v>000079</v>
      </c>
      <c r="I21" s="3">
        <v>42516</v>
      </c>
      <c r="J21" s="4" t="str">
        <f>"000068"</f>
        <v>000068</v>
      </c>
      <c r="K21" s="3">
        <v>42627</v>
      </c>
      <c r="L21" s="4" t="str">
        <f>"000166"</f>
        <v>000166</v>
      </c>
      <c r="M21" s="3">
        <v>42627</v>
      </c>
      <c r="N21" s="4">
        <v>16</v>
      </c>
      <c r="O21" s="4" t="str">
        <f>"002136"</f>
        <v>002136</v>
      </c>
      <c r="P21" s="3">
        <v>43255</v>
      </c>
      <c r="Q21" s="6">
        <v>34.902799999999999</v>
      </c>
      <c r="R21" s="6">
        <v>4.7739500000000001</v>
      </c>
      <c r="S21" s="6">
        <v>30.12885</v>
      </c>
      <c r="T21" s="4">
        <v>71</v>
      </c>
      <c r="U21" s="3">
        <v>43257</v>
      </c>
      <c r="V21" s="4">
        <v>9448644063</v>
      </c>
      <c r="W21" s="5" t="s">
        <v>103</v>
      </c>
      <c r="X21" s="4" t="s">
        <v>50</v>
      </c>
      <c r="Y21" s="5" t="s">
        <v>51</v>
      </c>
      <c r="Z21" s="4" t="s">
        <v>62</v>
      </c>
      <c r="AA21" s="5" t="s">
        <v>63</v>
      </c>
      <c r="AB21" s="6">
        <v>0.349028</v>
      </c>
      <c r="AD21" s="7"/>
      <c r="AF21" s="7"/>
      <c r="AG21" s="7"/>
    </row>
    <row r="22" spans="1:33" x14ac:dyDescent="0.2">
      <c r="A22" s="11">
        <v>1922</v>
      </c>
      <c r="B22" s="12" t="s">
        <v>42</v>
      </c>
      <c r="C22" s="12">
        <v>43257</v>
      </c>
      <c r="D22" s="4">
        <v>184</v>
      </c>
      <c r="E22" s="5" t="s">
        <v>58</v>
      </c>
      <c r="F22" s="4" t="s">
        <v>111</v>
      </c>
      <c r="G22" s="5" t="s">
        <v>112</v>
      </c>
      <c r="H22" s="4" t="str">
        <f>"000197"</f>
        <v>000197</v>
      </c>
      <c r="I22" s="3">
        <v>42404</v>
      </c>
      <c r="J22" s="4" t="str">
        <f>"000070"</f>
        <v>000070</v>
      </c>
      <c r="K22" s="3">
        <v>42627</v>
      </c>
      <c r="L22" s="4" t="str">
        <f>"000171"</f>
        <v>000171</v>
      </c>
      <c r="M22" s="3">
        <v>42627</v>
      </c>
      <c r="N22" s="4">
        <v>16</v>
      </c>
      <c r="O22" s="4" t="str">
        <f>"002162"</f>
        <v>002162</v>
      </c>
      <c r="P22" s="3">
        <v>43255</v>
      </c>
      <c r="Q22" s="6">
        <v>18.737670000000001</v>
      </c>
      <c r="R22" s="6">
        <v>2.3710499999999999</v>
      </c>
      <c r="S22" s="6">
        <v>16.366620000000001</v>
      </c>
      <c r="T22" s="4">
        <v>71</v>
      </c>
      <c r="U22" s="3">
        <v>43257</v>
      </c>
      <c r="V22" s="4">
        <v>9845752097</v>
      </c>
      <c r="W22" s="5" t="s">
        <v>91</v>
      </c>
      <c r="X22" s="4" t="s">
        <v>30</v>
      </c>
      <c r="Y22" s="5" t="s">
        <v>31</v>
      </c>
      <c r="Z22" s="4" t="s">
        <v>62</v>
      </c>
      <c r="AA22" s="5" t="s">
        <v>63</v>
      </c>
      <c r="AB22" s="6">
        <v>0.18737670000000001</v>
      </c>
      <c r="AD22" s="7"/>
      <c r="AF22" s="7"/>
      <c r="AG22" s="7"/>
    </row>
    <row r="23" spans="1:33" x14ac:dyDescent="0.2">
      <c r="A23" s="11">
        <v>1989</v>
      </c>
      <c r="B23" s="12" t="s">
        <v>42</v>
      </c>
      <c r="C23" s="12">
        <v>43258</v>
      </c>
      <c r="D23" s="4">
        <v>184</v>
      </c>
      <c r="E23" s="5" t="s">
        <v>58</v>
      </c>
      <c r="F23" s="4" t="s">
        <v>113</v>
      </c>
      <c r="G23" s="5" t="s">
        <v>114</v>
      </c>
      <c r="H23" s="4" t="str">
        <f>"000436"</f>
        <v>000436</v>
      </c>
      <c r="I23" s="3">
        <v>43172</v>
      </c>
      <c r="J23" s="4" t="str">
        <f>"000007"</f>
        <v>000007</v>
      </c>
      <c r="K23" s="3">
        <v>43214</v>
      </c>
      <c r="L23" s="4" t="str">
        <f>"000038"</f>
        <v>000038</v>
      </c>
      <c r="M23" s="3">
        <v>43220</v>
      </c>
      <c r="N23" s="4">
        <v>17</v>
      </c>
      <c r="O23" s="4" t="str">
        <f>"002206"</f>
        <v>002206</v>
      </c>
      <c r="P23" s="3">
        <v>43257</v>
      </c>
      <c r="Q23" s="6">
        <v>12.97</v>
      </c>
      <c r="R23" s="6">
        <v>1.6151500000000001</v>
      </c>
      <c r="S23" s="6">
        <v>11.354850000000001</v>
      </c>
      <c r="T23" s="4">
        <v>77</v>
      </c>
      <c r="U23" s="3">
        <v>43258</v>
      </c>
      <c r="V23" s="4">
        <v>8095000059</v>
      </c>
      <c r="W23" s="5" t="s">
        <v>45</v>
      </c>
      <c r="X23" s="4" t="s">
        <v>37</v>
      </c>
      <c r="Y23" s="5" t="s">
        <v>38</v>
      </c>
      <c r="Z23" s="4" t="s">
        <v>62</v>
      </c>
      <c r="AA23" s="5" t="s">
        <v>63</v>
      </c>
      <c r="AB23" s="6">
        <v>0.12970000000000001</v>
      </c>
      <c r="AD23" s="7"/>
      <c r="AF23" s="7"/>
      <c r="AG23" s="7"/>
    </row>
    <row r="24" spans="1:33" x14ac:dyDescent="0.2">
      <c r="A24" s="11">
        <v>2055</v>
      </c>
      <c r="B24" s="12" t="s">
        <v>42</v>
      </c>
      <c r="C24" s="12">
        <v>43262</v>
      </c>
      <c r="D24" s="4">
        <v>184</v>
      </c>
      <c r="E24" s="5" t="s">
        <v>58</v>
      </c>
      <c r="F24" s="4" t="s">
        <v>115</v>
      </c>
      <c r="G24" s="5" t="s">
        <v>116</v>
      </c>
      <c r="H24" s="4" t="str">
        <f>"000078"</f>
        <v>000078</v>
      </c>
      <c r="I24" s="3">
        <v>42516</v>
      </c>
      <c r="J24" s="4" t="str">
        <f>"000060"</f>
        <v>000060</v>
      </c>
      <c r="K24" s="3">
        <v>42611</v>
      </c>
      <c r="L24" s="4" t="str">
        <f>"000169"</f>
        <v>000169</v>
      </c>
      <c r="M24" s="3">
        <v>42627</v>
      </c>
      <c r="N24" s="4">
        <v>16</v>
      </c>
      <c r="O24" s="4" t="str">
        <f>"002322"</f>
        <v>002322</v>
      </c>
      <c r="P24" s="3">
        <v>43258</v>
      </c>
      <c r="Q24" s="6">
        <v>29.864789999999999</v>
      </c>
      <c r="R24" s="6">
        <v>4.1079499999999998</v>
      </c>
      <c r="S24" s="6">
        <v>25.75684</v>
      </c>
      <c r="T24" s="4">
        <v>80</v>
      </c>
      <c r="U24" s="3">
        <v>43262</v>
      </c>
      <c r="V24" s="4">
        <v>9845752097</v>
      </c>
      <c r="W24" s="5" t="s">
        <v>54</v>
      </c>
      <c r="X24" s="4" t="s">
        <v>50</v>
      </c>
      <c r="Y24" s="5" t="s">
        <v>51</v>
      </c>
      <c r="Z24" s="4" t="s">
        <v>62</v>
      </c>
      <c r="AA24" s="5" t="s">
        <v>63</v>
      </c>
      <c r="AB24" s="6">
        <v>0.29864789999999997</v>
      </c>
      <c r="AD24" s="7"/>
      <c r="AF24" s="7"/>
      <c r="AG24" s="7"/>
    </row>
    <row r="25" spans="1:33" x14ac:dyDescent="0.2">
      <c r="A25" s="11">
        <v>2056</v>
      </c>
      <c r="B25" s="12" t="s">
        <v>42</v>
      </c>
      <c r="C25" s="12">
        <v>43262</v>
      </c>
      <c r="D25" s="4">
        <v>184</v>
      </c>
      <c r="E25" s="5" t="s">
        <v>58</v>
      </c>
      <c r="F25" s="4" t="s">
        <v>117</v>
      </c>
      <c r="G25" s="5" t="s">
        <v>118</v>
      </c>
      <c r="H25" s="4" t="str">
        <f>"000072"</f>
        <v>000072</v>
      </c>
      <c r="I25" s="3">
        <v>42516</v>
      </c>
      <c r="J25" s="4" t="str">
        <f>"000063"</f>
        <v>000063</v>
      </c>
      <c r="K25" s="3">
        <v>42627</v>
      </c>
      <c r="L25" s="4" t="str">
        <f>"000172"</f>
        <v>000172</v>
      </c>
      <c r="M25" s="3">
        <v>42627</v>
      </c>
      <c r="N25" s="4">
        <v>16</v>
      </c>
      <c r="O25" s="4" t="str">
        <f>"002323"</f>
        <v>002323</v>
      </c>
      <c r="P25" s="3">
        <v>43258</v>
      </c>
      <c r="Q25" s="6">
        <v>34.921199999999999</v>
      </c>
      <c r="R25" s="6">
        <v>4.9337499999999999</v>
      </c>
      <c r="S25" s="6">
        <v>29.987449999999999</v>
      </c>
      <c r="T25" s="4">
        <v>80</v>
      </c>
      <c r="U25" s="3">
        <v>43262</v>
      </c>
      <c r="V25" s="4">
        <v>9538672091</v>
      </c>
      <c r="W25" s="5" t="s">
        <v>91</v>
      </c>
      <c r="X25" s="4" t="s">
        <v>50</v>
      </c>
      <c r="Y25" s="5" t="s">
        <v>51</v>
      </c>
      <c r="Z25" s="4" t="s">
        <v>62</v>
      </c>
      <c r="AA25" s="5" t="s">
        <v>63</v>
      </c>
      <c r="AB25" s="6">
        <v>0.34921199999999997</v>
      </c>
      <c r="AD25" s="7"/>
      <c r="AF25" s="7"/>
      <c r="AG25" s="7"/>
    </row>
    <row r="26" spans="1:33" x14ac:dyDescent="0.2">
      <c r="A26" s="11">
        <v>2057</v>
      </c>
      <c r="B26" s="12" t="s">
        <v>42</v>
      </c>
      <c r="C26" s="12">
        <v>43262</v>
      </c>
      <c r="D26" s="4">
        <v>184</v>
      </c>
      <c r="E26" s="5" t="s">
        <v>58</v>
      </c>
      <c r="F26" s="4" t="s">
        <v>119</v>
      </c>
      <c r="G26" s="5" t="s">
        <v>120</v>
      </c>
      <c r="H26" s="4" t="str">
        <f>"000050"</f>
        <v>000050</v>
      </c>
      <c r="I26" s="3">
        <v>42507</v>
      </c>
      <c r="J26" s="4" t="str">
        <f>"000062"</f>
        <v>000062</v>
      </c>
      <c r="K26" s="3">
        <v>42627</v>
      </c>
      <c r="L26" s="4" t="str">
        <f>"000173"</f>
        <v>000173</v>
      </c>
      <c r="M26" s="3">
        <v>42627</v>
      </c>
      <c r="N26" s="4">
        <v>16</v>
      </c>
      <c r="O26" s="4" t="str">
        <f>"002324"</f>
        <v>002324</v>
      </c>
      <c r="P26" s="3">
        <v>43258</v>
      </c>
      <c r="Q26" s="6">
        <v>19.934799999999999</v>
      </c>
      <c r="R26" s="6">
        <v>2.7618</v>
      </c>
      <c r="S26" s="6">
        <v>17.172999999999998</v>
      </c>
      <c r="T26" s="4">
        <v>80</v>
      </c>
      <c r="U26" s="3">
        <v>43262</v>
      </c>
      <c r="V26" s="4">
        <v>9538672091</v>
      </c>
      <c r="W26" s="5" t="s">
        <v>54</v>
      </c>
      <c r="X26" s="4" t="s">
        <v>50</v>
      </c>
      <c r="Y26" s="5" t="s">
        <v>51</v>
      </c>
      <c r="Z26" s="4" t="s">
        <v>62</v>
      </c>
      <c r="AA26" s="5" t="s">
        <v>63</v>
      </c>
      <c r="AB26" s="6">
        <v>0.199348</v>
      </c>
      <c r="AD26" s="7"/>
      <c r="AF26" s="7"/>
      <c r="AG26" s="7"/>
    </row>
    <row r="27" spans="1:33" x14ac:dyDescent="0.2">
      <c r="A27" s="11">
        <v>2058</v>
      </c>
      <c r="B27" s="12" t="s">
        <v>42</v>
      </c>
      <c r="C27" s="12">
        <v>43262</v>
      </c>
      <c r="D27" s="4">
        <v>184</v>
      </c>
      <c r="E27" s="5" t="s">
        <v>58</v>
      </c>
      <c r="F27" s="4" t="s">
        <v>121</v>
      </c>
      <c r="G27" s="5" t="s">
        <v>122</v>
      </c>
      <c r="H27" s="4" t="str">
        <f>"000075"</f>
        <v>000075</v>
      </c>
      <c r="I27" s="3">
        <v>42516</v>
      </c>
      <c r="J27" s="4" t="str">
        <f>"000064"</f>
        <v>000064</v>
      </c>
      <c r="K27" s="3">
        <v>42627</v>
      </c>
      <c r="L27" s="4" t="str">
        <f>"000174"</f>
        <v>000174</v>
      </c>
      <c r="M27" s="3">
        <v>42627</v>
      </c>
      <c r="N27" s="4">
        <v>16</v>
      </c>
      <c r="O27" s="4" t="str">
        <f>"002325"</f>
        <v>002325</v>
      </c>
      <c r="P27" s="3">
        <v>43258</v>
      </c>
      <c r="Q27" s="6">
        <v>29.196359999999999</v>
      </c>
      <c r="R27" s="6">
        <v>4.0247099999999998</v>
      </c>
      <c r="S27" s="6">
        <v>25.17165</v>
      </c>
      <c r="T27" s="4">
        <v>80</v>
      </c>
      <c r="U27" s="3">
        <v>43262</v>
      </c>
      <c r="V27" s="4">
        <v>9845752097</v>
      </c>
      <c r="W27" s="5" t="s">
        <v>54</v>
      </c>
      <c r="X27" s="4" t="s">
        <v>50</v>
      </c>
      <c r="Y27" s="5" t="s">
        <v>51</v>
      </c>
      <c r="Z27" s="4" t="s">
        <v>62</v>
      </c>
      <c r="AA27" s="5" t="s">
        <v>63</v>
      </c>
      <c r="AB27" s="6">
        <v>0.29196359999999999</v>
      </c>
      <c r="AD27" s="7"/>
      <c r="AF27" s="7"/>
      <c r="AG27" s="7"/>
    </row>
    <row r="28" spans="1:33" x14ac:dyDescent="0.2">
      <c r="A28" s="11">
        <v>2059</v>
      </c>
      <c r="B28" s="12" t="s">
        <v>42</v>
      </c>
      <c r="C28" s="12">
        <v>43262</v>
      </c>
      <c r="D28" s="4">
        <v>184</v>
      </c>
      <c r="E28" s="5" t="s">
        <v>58</v>
      </c>
      <c r="F28" s="4" t="s">
        <v>123</v>
      </c>
      <c r="G28" s="5" t="s">
        <v>124</v>
      </c>
      <c r="H28" s="4" t="str">
        <f>"000076"</f>
        <v>000076</v>
      </c>
      <c r="I28" s="3">
        <v>42516</v>
      </c>
      <c r="J28" s="4" t="str">
        <f>"000065"</f>
        <v>000065</v>
      </c>
      <c r="K28" s="3">
        <v>42627</v>
      </c>
      <c r="L28" s="4" t="str">
        <f>"000175"</f>
        <v>000175</v>
      </c>
      <c r="M28" s="3">
        <v>42627</v>
      </c>
      <c r="N28" s="4">
        <v>16</v>
      </c>
      <c r="O28" s="4" t="str">
        <f>"002326"</f>
        <v>002326</v>
      </c>
      <c r="P28" s="3">
        <v>43258</v>
      </c>
      <c r="Q28" s="6">
        <v>49.803629999999998</v>
      </c>
      <c r="R28" s="6">
        <v>6.8491999999999997</v>
      </c>
      <c r="S28" s="6">
        <v>42.954430000000002</v>
      </c>
      <c r="T28" s="4">
        <v>80</v>
      </c>
      <c r="U28" s="3">
        <v>43262</v>
      </c>
      <c r="V28" s="4">
        <v>9845752097</v>
      </c>
      <c r="W28" s="5" t="s">
        <v>54</v>
      </c>
      <c r="X28" s="4" t="s">
        <v>50</v>
      </c>
      <c r="Y28" s="5" t="s">
        <v>51</v>
      </c>
      <c r="Z28" s="4" t="s">
        <v>62</v>
      </c>
      <c r="AA28" s="5" t="s">
        <v>63</v>
      </c>
      <c r="AB28" s="6">
        <v>0.49803629999999999</v>
      </c>
      <c r="AD28" s="7"/>
      <c r="AF28" s="7"/>
      <c r="AG28" s="7"/>
    </row>
    <row r="29" spans="1:33" x14ac:dyDescent="0.2">
      <c r="A29" s="11">
        <v>2376</v>
      </c>
      <c r="B29" s="12" t="s">
        <v>42</v>
      </c>
      <c r="C29" s="12">
        <v>43269</v>
      </c>
      <c r="D29" s="4">
        <v>184</v>
      </c>
      <c r="E29" s="5" t="s">
        <v>58</v>
      </c>
      <c r="F29" s="4" t="s">
        <v>125</v>
      </c>
      <c r="G29" s="5" t="s">
        <v>126</v>
      </c>
      <c r="H29" s="4" t="str">
        <f>"000077"</f>
        <v>000077</v>
      </c>
      <c r="I29" s="3">
        <v>42516</v>
      </c>
      <c r="J29" s="4" t="str">
        <f>"000069"</f>
        <v>000069</v>
      </c>
      <c r="K29" s="3">
        <v>42627</v>
      </c>
      <c r="L29" s="4" t="str">
        <f>"000176"</f>
        <v>000176</v>
      </c>
      <c r="M29" s="3">
        <v>42627</v>
      </c>
      <c r="N29" s="4">
        <v>16</v>
      </c>
      <c r="O29" s="4" t="str">
        <f>"002344"</f>
        <v>002344</v>
      </c>
      <c r="P29" s="3">
        <v>43262</v>
      </c>
      <c r="Q29" s="6">
        <v>48.88</v>
      </c>
      <c r="R29" s="6">
        <v>6.8969500000000004</v>
      </c>
      <c r="S29" s="6">
        <v>41.983049999999999</v>
      </c>
      <c r="T29" s="4">
        <v>90</v>
      </c>
      <c r="U29" s="3">
        <v>43269</v>
      </c>
      <c r="V29" s="4">
        <v>9538672091</v>
      </c>
      <c r="W29" s="5" t="s">
        <v>91</v>
      </c>
      <c r="X29" s="4" t="s">
        <v>50</v>
      </c>
      <c r="Y29" s="5" t="s">
        <v>51</v>
      </c>
      <c r="Z29" s="4" t="s">
        <v>62</v>
      </c>
      <c r="AA29" s="5" t="s">
        <v>63</v>
      </c>
      <c r="AB29" s="6">
        <v>0.48880000000000001</v>
      </c>
      <c r="AD29" s="7"/>
      <c r="AF29" s="7"/>
      <c r="AG29" s="7"/>
    </row>
    <row r="30" spans="1:33" x14ac:dyDescent="0.2">
      <c r="A30" s="11">
        <v>2377</v>
      </c>
      <c r="B30" s="12" t="s">
        <v>42</v>
      </c>
      <c r="C30" s="12">
        <v>43269</v>
      </c>
      <c r="D30" s="4">
        <v>184</v>
      </c>
      <c r="E30" s="5" t="s">
        <v>58</v>
      </c>
      <c r="F30" s="4" t="s">
        <v>127</v>
      </c>
      <c r="G30" s="5" t="s">
        <v>128</v>
      </c>
      <c r="H30" s="4" t="str">
        <f>"000109"</f>
        <v>000109</v>
      </c>
      <c r="I30" s="3">
        <v>42598</v>
      </c>
      <c r="J30" s="4" t="str">
        <f>"000075"</f>
        <v>000075</v>
      </c>
      <c r="K30" s="3">
        <v>42629</v>
      </c>
      <c r="L30" s="4" t="str">
        <f>"000177"</f>
        <v>000177</v>
      </c>
      <c r="M30" s="3">
        <v>42629</v>
      </c>
      <c r="N30" s="4">
        <v>15</v>
      </c>
      <c r="O30" s="4" t="str">
        <f>"002557"</f>
        <v>002557</v>
      </c>
      <c r="P30" s="3">
        <v>43265</v>
      </c>
      <c r="Q30" s="6">
        <v>11.960900000000001</v>
      </c>
      <c r="R30" s="6">
        <v>1.5237000000000001</v>
      </c>
      <c r="S30" s="6">
        <v>10.437200000000001</v>
      </c>
      <c r="T30" s="4">
        <v>90</v>
      </c>
      <c r="U30" s="3">
        <v>43269</v>
      </c>
      <c r="V30" s="4">
        <v>9448644063</v>
      </c>
      <c r="W30" s="5" t="s">
        <v>103</v>
      </c>
      <c r="X30" s="4" t="s">
        <v>30</v>
      </c>
      <c r="Y30" s="5" t="s">
        <v>31</v>
      </c>
      <c r="Z30" s="4" t="s">
        <v>62</v>
      </c>
      <c r="AA30" s="5" t="s">
        <v>63</v>
      </c>
      <c r="AB30" s="6">
        <v>0.11960900000000001</v>
      </c>
      <c r="AD30" s="7"/>
      <c r="AF30" s="7"/>
      <c r="AG30" s="7"/>
    </row>
    <row r="31" spans="1:33" x14ac:dyDescent="0.2">
      <c r="A31" s="11">
        <v>2629</v>
      </c>
      <c r="B31" s="12" t="s">
        <v>42</v>
      </c>
      <c r="C31" s="12">
        <v>43274</v>
      </c>
      <c r="D31" s="4">
        <v>184</v>
      </c>
      <c r="E31" s="5" t="s">
        <v>58</v>
      </c>
      <c r="F31" s="4" t="s">
        <v>129</v>
      </c>
      <c r="G31" s="5" t="s">
        <v>130</v>
      </c>
      <c r="H31" s="4" t="str">
        <f>"000115"</f>
        <v>000115</v>
      </c>
      <c r="I31" s="3">
        <v>42613</v>
      </c>
      <c r="J31" s="4" t="str">
        <f>"000078"</f>
        <v>000078</v>
      </c>
      <c r="K31" s="3">
        <v>42667</v>
      </c>
      <c r="L31" s="4" t="str">
        <f>"000188"</f>
        <v>000188</v>
      </c>
      <c r="M31" s="3">
        <v>42671</v>
      </c>
      <c r="N31" s="4">
        <v>16</v>
      </c>
      <c r="O31" s="4" t="str">
        <f>"002867"</f>
        <v>002867</v>
      </c>
      <c r="P31" s="3">
        <v>43273</v>
      </c>
      <c r="Q31" s="6">
        <v>10.8729</v>
      </c>
      <c r="R31" s="6">
        <v>1.4739</v>
      </c>
      <c r="S31" s="6">
        <v>9.3989999999999991</v>
      </c>
      <c r="T31" s="4">
        <v>99</v>
      </c>
      <c r="U31" s="3">
        <v>43274</v>
      </c>
      <c r="V31" s="4">
        <v>9742394755</v>
      </c>
      <c r="W31" s="5" t="s">
        <v>131</v>
      </c>
      <c r="X31" s="4" t="s">
        <v>50</v>
      </c>
      <c r="Y31" s="5" t="s">
        <v>51</v>
      </c>
      <c r="Z31" s="4" t="s">
        <v>62</v>
      </c>
      <c r="AA31" s="5" t="s">
        <v>63</v>
      </c>
      <c r="AB31" s="6">
        <v>0.10872899999999999</v>
      </c>
      <c r="AD31" s="7"/>
      <c r="AF31" s="7"/>
      <c r="AG31" s="7"/>
    </row>
    <row r="32" spans="1:33" x14ac:dyDescent="0.2">
      <c r="A32" s="11">
        <v>2957</v>
      </c>
      <c r="B32" s="12" t="s">
        <v>32</v>
      </c>
      <c r="C32" s="12">
        <v>43283</v>
      </c>
      <c r="D32" s="4">
        <v>184</v>
      </c>
      <c r="E32" s="5" t="s">
        <v>58</v>
      </c>
      <c r="F32" s="4" t="s">
        <v>132</v>
      </c>
      <c r="G32" s="5" t="s">
        <v>133</v>
      </c>
      <c r="H32" s="4" t="str">
        <f>"000007"</f>
        <v>000007</v>
      </c>
      <c r="I32" s="3">
        <v>42831</v>
      </c>
      <c r="J32" s="4" t="str">
        <f>"000013"</f>
        <v>000013</v>
      </c>
      <c r="K32" s="3">
        <v>42903</v>
      </c>
      <c r="L32" s="4" t="str">
        <f>"000084"</f>
        <v>000084</v>
      </c>
      <c r="M32" s="3">
        <v>42909</v>
      </c>
      <c r="N32" s="4">
        <v>17</v>
      </c>
      <c r="O32" s="4" t="str">
        <f>"003176"</f>
        <v>003176</v>
      </c>
      <c r="P32" s="3">
        <v>43280</v>
      </c>
      <c r="Q32" s="6">
        <v>22.314399999999999</v>
      </c>
      <c r="R32" s="6">
        <v>3.0535999999999999</v>
      </c>
      <c r="S32" s="6">
        <v>19.2608</v>
      </c>
      <c r="T32" s="4">
        <v>107</v>
      </c>
      <c r="U32" s="3">
        <v>43283</v>
      </c>
      <c r="V32" s="4">
        <v>9845996306</v>
      </c>
      <c r="W32" s="5" t="s">
        <v>134</v>
      </c>
      <c r="X32" s="4" t="s">
        <v>41</v>
      </c>
      <c r="Y32" s="5" t="s">
        <v>40</v>
      </c>
      <c r="Z32" s="4" t="s">
        <v>62</v>
      </c>
      <c r="AA32" s="5" t="s">
        <v>63</v>
      </c>
      <c r="AB32" s="6">
        <v>0.22314399999999998</v>
      </c>
      <c r="AD32" s="7"/>
      <c r="AF32" s="7"/>
      <c r="AG32" s="7"/>
    </row>
    <row r="33" spans="1:33" x14ac:dyDescent="0.2">
      <c r="A33" s="11">
        <v>2958</v>
      </c>
      <c r="B33" s="12" t="s">
        <v>32</v>
      </c>
      <c r="C33" s="12">
        <v>43283</v>
      </c>
      <c r="D33" s="4">
        <v>184</v>
      </c>
      <c r="E33" s="5" t="s">
        <v>58</v>
      </c>
      <c r="F33" s="4" t="s">
        <v>135</v>
      </c>
      <c r="G33" s="5" t="s">
        <v>90</v>
      </c>
      <c r="H33" s="4" t="str">
        <f>"000002"</f>
        <v>000002</v>
      </c>
      <c r="I33" s="3">
        <v>42831</v>
      </c>
      <c r="J33" s="4" t="str">
        <f>"000014"</f>
        <v>000014</v>
      </c>
      <c r="K33" s="3">
        <v>42903</v>
      </c>
      <c r="L33" s="4" t="str">
        <f>"000085"</f>
        <v>000085</v>
      </c>
      <c r="M33" s="3">
        <v>42909</v>
      </c>
      <c r="N33" s="4">
        <v>17</v>
      </c>
      <c r="O33" s="4" t="str">
        <f>"003177"</f>
        <v>003177</v>
      </c>
      <c r="P33" s="3">
        <v>43280</v>
      </c>
      <c r="Q33" s="6">
        <v>14.9253</v>
      </c>
      <c r="R33" s="6">
        <v>2.0177499999999999</v>
      </c>
      <c r="S33" s="6">
        <v>12.907550000000001</v>
      </c>
      <c r="T33" s="4">
        <v>107</v>
      </c>
      <c r="U33" s="3">
        <v>43283</v>
      </c>
      <c r="V33" s="4">
        <v>9845996306</v>
      </c>
      <c r="W33" s="5" t="s">
        <v>136</v>
      </c>
      <c r="X33" s="4" t="s">
        <v>30</v>
      </c>
      <c r="Y33" s="5" t="s">
        <v>31</v>
      </c>
      <c r="Z33" s="4" t="s">
        <v>62</v>
      </c>
      <c r="AA33" s="5" t="s">
        <v>63</v>
      </c>
      <c r="AB33" s="6">
        <v>0.149253</v>
      </c>
      <c r="AD33" s="7"/>
      <c r="AF33" s="7"/>
      <c r="AG33" s="7"/>
    </row>
    <row r="34" spans="1:33" x14ac:dyDescent="0.2">
      <c r="A34" s="11">
        <v>2959</v>
      </c>
      <c r="B34" s="12" t="s">
        <v>32</v>
      </c>
      <c r="C34" s="12">
        <v>43283</v>
      </c>
      <c r="D34" s="4">
        <v>184</v>
      </c>
      <c r="E34" s="5" t="s">
        <v>58</v>
      </c>
      <c r="F34" s="4" t="s">
        <v>137</v>
      </c>
      <c r="G34" s="5" t="s">
        <v>138</v>
      </c>
      <c r="H34" s="4" t="str">
        <f>"000069"</f>
        <v>000069</v>
      </c>
      <c r="I34" s="3">
        <v>42849</v>
      </c>
      <c r="J34" s="4" t="str">
        <f>"000042"</f>
        <v>000042</v>
      </c>
      <c r="K34" s="3">
        <v>42916</v>
      </c>
      <c r="L34" s="4" t="str">
        <f>"000152"</f>
        <v>000152</v>
      </c>
      <c r="M34" s="3">
        <v>42916</v>
      </c>
      <c r="N34" s="4">
        <v>17</v>
      </c>
      <c r="O34" s="4" t="str">
        <f>"003183"</f>
        <v>003183</v>
      </c>
      <c r="P34" s="3">
        <v>43280</v>
      </c>
      <c r="Q34" s="6">
        <v>43.973999999999997</v>
      </c>
      <c r="R34" s="6">
        <v>6.0358099999999997</v>
      </c>
      <c r="S34" s="6">
        <v>37.938189999999999</v>
      </c>
      <c r="T34" s="4">
        <v>107</v>
      </c>
      <c r="U34" s="3">
        <v>43283</v>
      </c>
      <c r="V34" s="4">
        <v>9902963559</v>
      </c>
      <c r="W34" s="5" t="s">
        <v>139</v>
      </c>
      <c r="X34" s="4" t="s">
        <v>46</v>
      </c>
      <c r="Y34" s="5" t="s">
        <v>47</v>
      </c>
      <c r="Z34" s="4" t="s">
        <v>62</v>
      </c>
      <c r="AA34" s="5" t="s">
        <v>63</v>
      </c>
      <c r="AB34" s="6">
        <v>0.43973999999999996</v>
      </c>
      <c r="AD34" s="7"/>
      <c r="AF34" s="7"/>
      <c r="AG34" s="7"/>
    </row>
    <row r="35" spans="1:33" x14ac:dyDescent="0.2">
      <c r="A35" s="11">
        <v>3797</v>
      </c>
      <c r="B35" s="12" t="s">
        <v>32</v>
      </c>
      <c r="C35" s="12">
        <v>43301</v>
      </c>
      <c r="D35" s="4">
        <v>184</v>
      </c>
      <c r="E35" s="5" t="s">
        <v>58</v>
      </c>
      <c r="F35" s="4" t="s">
        <v>140</v>
      </c>
      <c r="G35" s="5" t="s">
        <v>141</v>
      </c>
      <c r="H35" s="4" t="str">
        <f>"000055"</f>
        <v>000055</v>
      </c>
      <c r="I35" s="3">
        <v>43155</v>
      </c>
      <c r="J35" s="4" t="str">
        <f>"000081"</f>
        <v>000081</v>
      </c>
      <c r="K35" s="3">
        <v>43158</v>
      </c>
      <c r="L35" s="4" t="str">
        <f>"000085"</f>
        <v>000085</v>
      </c>
      <c r="M35" s="3">
        <v>43181</v>
      </c>
      <c r="N35" s="4">
        <v>16</v>
      </c>
      <c r="O35" s="4" t="str">
        <f>"004022"</f>
        <v>004022</v>
      </c>
      <c r="P35" s="3">
        <v>43300</v>
      </c>
      <c r="Q35" s="6">
        <v>16.584689999999998</v>
      </c>
      <c r="R35" s="6">
        <v>2.1242999999999999</v>
      </c>
      <c r="S35" s="6">
        <v>14.46039</v>
      </c>
      <c r="T35" s="4">
        <v>134</v>
      </c>
      <c r="U35" s="3">
        <v>43301</v>
      </c>
      <c r="V35" s="4">
        <v>9448522800</v>
      </c>
      <c r="W35" s="5" t="s">
        <v>142</v>
      </c>
      <c r="X35" s="4" t="s">
        <v>33</v>
      </c>
      <c r="Y35" s="5" t="s">
        <v>34</v>
      </c>
      <c r="Z35" s="4" t="s">
        <v>56</v>
      </c>
      <c r="AA35" s="5" t="s">
        <v>57</v>
      </c>
      <c r="AB35" s="6">
        <v>0.16584689999999999</v>
      </c>
      <c r="AD35" s="7"/>
      <c r="AF35" s="7"/>
      <c r="AG35" s="7"/>
    </row>
    <row r="36" spans="1:33" x14ac:dyDescent="0.2">
      <c r="A36" s="11">
        <v>3869</v>
      </c>
      <c r="B36" s="12" t="s">
        <v>32</v>
      </c>
      <c r="C36" s="12">
        <v>43304</v>
      </c>
      <c r="D36" s="4">
        <v>184</v>
      </c>
      <c r="E36" s="5" t="s">
        <v>58</v>
      </c>
      <c r="F36" s="4" t="s">
        <v>143</v>
      </c>
      <c r="G36" s="5" t="s">
        <v>144</v>
      </c>
      <c r="H36" s="4" t="str">
        <f>"000128"</f>
        <v>000128</v>
      </c>
      <c r="I36" s="3">
        <v>43080</v>
      </c>
      <c r="J36" s="4" t="str">
        <f>"000013"</f>
        <v>000013</v>
      </c>
      <c r="K36" s="3">
        <v>43224</v>
      </c>
      <c r="L36" s="4" t="str">
        <f>"000054"</f>
        <v>000054</v>
      </c>
      <c r="M36" s="3">
        <v>43239</v>
      </c>
      <c r="N36" s="4">
        <v>17</v>
      </c>
      <c r="O36" s="4" t="str">
        <f>"004071"</f>
        <v>004071</v>
      </c>
      <c r="P36" s="3">
        <v>43301</v>
      </c>
      <c r="Q36" s="6">
        <v>9.1219999999999999</v>
      </c>
      <c r="R36" s="6">
        <v>0.76600000000000001</v>
      </c>
      <c r="S36" s="6">
        <v>8.3559999999999999</v>
      </c>
      <c r="T36" s="4">
        <v>137</v>
      </c>
      <c r="U36" s="3">
        <v>43304</v>
      </c>
      <c r="V36" s="4">
        <v>9845929841</v>
      </c>
      <c r="W36" s="5" t="s">
        <v>145</v>
      </c>
      <c r="X36" s="4" t="s">
        <v>37</v>
      </c>
      <c r="Y36" s="5" t="s">
        <v>38</v>
      </c>
      <c r="Z36" s="4" t="s">
        <v>62</v>
      </c>
      <c r="AA36" s="5" t="s">
        <v>63</v>
      </c>
      <c r="AB36" s="6">
        <v>9.1219999999999996E-2</v>
      </c>
      <c r="AD36" s="7"/>
      <c r="AF36" s="7"/>
      <c r="AG36" s="7"/>
    </row>
    <row r="37" spans="1:33" x14ac:dyDescent="0.2">
      <c r="A37" s="11">
        <v>4608</v>
      </c>
      <c r="B37" s="12" t="s">
        <v>29</v>
      </c>
      <c r="C37" s="12">
        <v>43318</v>
      </c>
      <c r="D37" s="4">
        <v>184</v>
      </c>
      <c r="E37" s="5" t="s">
        <v>58</v>
      </c>
      <c r="F37" s="4" t="s">
        <v>146</v>
      </c>
      <c r="G37" s="5" t="s">
        <v>147</v>
      </c>
      <c r="H37" s="4" t="str">
        <f>"000154"</f>
        <v>000154</v>
      </c>
      <c r="I37" s="3">
        <v>42753</v>
      </c>
      <c r="J37" s="4" t="str">
        <f>"000103"</f>
        <v>000103</v>
      </c>
      <c r="K37" s="3">
        <v>42794</v>
      </c>
      <c r="L37" s="4" t="str">
        <f>"000261"</f>
        <v>000261</v>
      </c>
      <c r="M37" s="3">
        <v>42794</v>
      </c>
      <c r="N37" s="4">
        <v>16</v>
      </c>
      <c r="O37" s="4" t="str">
        <f>"004652"</f>
        <v>004652</v>
      </c>
      <c r="P37" s="3">
        <v>43313</v>
      </c>
      <c r="Q37" s="6">
        <v>2.91</v>
      </c>
      <c r="R37" s="6">
        <v>0.38429999999999997</v>
      </c>
      <c r="S37" s="6">
        <v>2.5257000000000001</v>
      </c>
      <c r="T37" s="4">
        <v>159</v>
      </c>
      <c r="U37" s="3">
        <v>43318</v>
      </c>
      <c r="V37" s="4">
        <v>9945546820</v>
      </c>
      <c r="W37" s="5" t="s">
        <v>148</v>
      </c>
      <c r="X37" s="4" t="s">
        <v>52</v>
      </c>
      <c r="Y37" s="5" t="s">
        <v>53</v>
      </c>
      <c r="Z37" s="4" t="s">
        <v>62</v>
      </c>
      <c r="AA37" s="5" t="s">
        <v>63</v>
      </c>
      <c r="AB37" s="6">
        <v>2.9100000000000001E-2</v>
      </c>
      <c r="AD37" s="7"/>
      <c r="AF37" s="7"/>
      <c r="AG37" s="7"/>
    </row>
    <row r="38" spans="1:33" x14ac:dyDescent="0.2">
      <c r="A38" s="11">
        <v>4609</v>
      </c>
      <c r="B38" s="12" t="s">
        <v>29</v>
      </c>
      <c r="C38" s="12">
        <v>43318</v>
      </c>
      <c r="D38" s="4">
        <v>184</v>
      </c>
      <c r="E38" s="5" t="s">
        <v>58</v>
      </c>
      <c r="F38" s="4" t="s">
        <v>149</v>
      </c>
      <c r="G38" s="5" t="s">
        <v>150</v>
      </c>
      <c r="H38" s="4" t="str">
        <f>"000098"</f>
        <v>000098</v>
      </c>
      <c r="I38" s="3">
        <v>42544</v>
      </c>
      <c r="J38" s="4" t="str">
        <f>"000104"</f>
        <v>000104</v>
      </c>
      <c r="K38" s="3">
        <v>42794</v>
      </c>
      <c r="L38" s="4" t="str">
        <f>"000258"</f>
        <v>000258</v>
      </c>
      <c r="M38" s="3">
        <v>42794</v>
      </c>
      <c r="N38" s="4">
        <v>16</v>
      </c>
      <c r="O38" s="4" t="str">
        <f>"004718"</f>
        <v>004718</v>
      </c>
      <c r="P38" s="3">
        <v>43314</v>
      </c>
      <c r="Q38" s="6">
        <v>29.296299999999999</v>
      </c>
      <c r="R38" s="6">
        <v>4.0579000000000001</v>
      </c>
      <c r="S38" s="6">
        <v>25.238399999999999</v>
      </c>
      <c r="T38" s="4">
        <v>159</v>
      </c>
      <c r="U38" s="3">
        <v>43318</v>
      </c>
      <c r="V38" s="4">
        <v>9874560321</v>
      </c>
      <c r="W38" s="5" t="s">
        <v>151</v>
      </c>
      <c r="X38" s="4" t="s">
        <v>50</v>
      </c>
      <c r="Y38" s="5" t="s">
        <v>51</v>
      </c>
      <c r="Z38" s="4" t="s">
        <v>62</v>
      </c>
      <c r="AA38" s="5" t="s">
        <v>63</v>
      </c>
      <c r="AB38" s="6">
        <v>0.29296299999999997</v>
      </c>
      <c r="AD38" s="7"/>
      <c r="AF38" s="7"/>
      <c r="AG38" s="7"/>
    </row>
    <row r="39" spans="1:33" x14ac:dyDescent="0.2">
      <c r="A39" s="11">
        <v>4899</v>
      </c>
      <c r="B39" s="12" t="s">
        <v>29</v>
      </c>
      <c r="C39" s="12">
        <v>43326</v>
      </c>
      <c r="D39" s="4">
        <v>184</v>
      </c>
      <c r="E39" s="5" t="s">
        <v>58</v>
      </c>
      <c r="F39" s="4" t="s">
        <v>152</v>
      </c>
      <c r="G39" s="5" t="s">
        <v>153</v>
      </c>
      <c r="H39" s="4" t="str">
        <f>"000a97"</f>
        <v>000a97</v>
      </c>
      <c r="I39" s="3">
        <v>42544</v>
      </c>
      <c r="J39" s="4" t="str">
        <f>"000036"</f>
        <v>000036</v>
      </c>
      <c r="K39" s="3">
        <v>42605</v>
      </c>
      <c r="L39" s="4" t="str">
        <f>"000133"</f>
        <v>000133</v>
      </c>
      <c r="M39" s="3">
        <v>42612</v>
      </c>
      <c r="N39" s="4">
        <v>16</v>
      </c>
      <c r="O39" s="4" t="str">
        <f>"004905"</f>
        <v>004905</v>
      </c>
      <c r="P39" s="3">
        <v>43318</v>
      </c>
      <c r="Q39" s="6">
        <v>19.995999999999999</v>
      </c>
      <c r="R39" s="6">
        <v>3.3096999999999999</v>
      </c>
      <c r="S39" s="6">
        <v>16.686299999999999</v>
      </c>
      <c r="T39" s="4">
        <v>170</v>
      </c>
      <c r="U39" s="3">
        <v>43326</v>
      </c>
      <c r="V39" s="4">
        <v>9845183166</v>
      </c>
      <c r="W39" s="5" t="s">
        <v>39</v>
      </c>
      <c r="X39" s="4" t="s">
        <v>46</v>
      </c>
      <c r="Y39" s="5" t="s">
        <v>47</v>
      </c>
      <c r="Z39" s="4" t="s">
        <v>62</v>
      </c>
      <c r="AA39" s="5" t="s">
        <v>63</v>
      </c>
      <c r="AB39" s="6">
        <v>0.19996</v>
      </c>
      <c r="AD39" s="7"/>
      <c r="AF39" s="7"/>
      <c r="AG39" s="7"/>
    </row>
    <row r="40" spans="1:33" x14ac:dyDescent="0.2">
      <c r="A40" s="11">
        <v>4900</v>
      </c>
      <c r="B40" s="12" t="s">
        <v>29</v>
      </c>
      <c r="C40" s="12">
        <v>43326</v>
      </c>
      <c r="D40" s="4">
        <v>184</v>
      </c>
      <c r="E40" s="5" t="s">
        <v>58</v>
      </c>
      <c r="F40" s="4" t="s">
        <v>154</v>
      </c>
      <c r="G40" s="5" t="s">
        <v>155</v>
      </c>
      <c r="H40" s="4" t="str">
        <f>"000a95"</f>
        <v>000a95</v>
      </c>
      <c r="I40" s="3">
        <v>42544</v>
      </c>
      <c r="J40" s="4" t="str">
        <f>"000034"</f>
        <v>000034</v>
      </c>
      <c r="K40" s="3">
        <v>42605</v>
      </c>
      <c r="L40" s="4" t="str">
        <f>"000132"</f>
        <v>000132</v>
      </c>
      <c r="M40" s="3">
        <v>42612</v>
      </c>
      <c r="N40" s="4">
        <v>16</v>
      </c>
      <c r="O40" s="4" t="str">
        <f>"004996"</f>
        <v>004996</v>
      </c>
      <c r="P40" s="3">
        <v>43320</v>
      </c>
      <c r="Q40" s="6">
        <v>49.78</v>
      </c>
      <c r="R40" s="6">
        <v>8.2614999999999998</v>
      </c>
      <c r="S40" s="6">
        <v>41.518500000000003</v>
      </c>
      <c r="T40" s="4">
        <v>170</v>
      </c>
      <c r="U40" s="3">
        <v>43326</v>
      </c>
      <c r="V40" s="4">
        <v>9845183166</v>
      </c>
      <c r="W40" s="5" t="s">
        <v>39</v>
      </c>
      <c r="X40" s="4" t="s">
        <v>46</v>
      </c>
      <c r="Y40" s="5" t="s">
        <v>47</v>
      </c>
      <c r="Z40" s="4" t="s">
        <v>62</v>
      </c>
      <c r="AA40" s="5" t="s">
        <v>63</v>
      </c>
      <c r="AB40" s="6">
        <v>0.49780000000000002</v>
      </c>
      <c r="AD40" s="7"/>
      <c r="AF40" s="7"/>
      <c r="AG40" s="7"/>
    </row>
    <row r="41" spans="1:33" x14ac:dyDescent="0.2">
      <c r="A41" s="11">
        <v>4901</v>
      </c>
      <c r="B41" s="12" t="s">
        <v>29</v>
      </c>
      <c r="C41" s="12">
        <v>43326</v>
      </c>
      <c r="D41" s="4">
        <v>184</v>
      </c>
      <c r="E41" s="5" t="s">
        <v>58</v>
      </c>
      <c r="F41" s="4" t="s">
        <v>156</v>
      </c>
      <c r="G41" s="5" t="s">
        <v>157</v>
      </c>
      <c r="H41" s="4" t="str">
        <f>"000140"</f>
        <v>000140</v>
      </c>
      <c r="I41" s="3">
        <v>42667</v>
      </c>
      <c r="J41" s="4" t="str">
        <f>"000086"</f>
        <v>000086</v>
      </c>
      <c r="K41" s="3">
        <v>42699</v>
      </c>
      <c r="L41" s="4" t="str">
        <f>"000213"</f>
        <v>000213</v>
      </c>
      <c r="M41" s="3">
        <v>42699</v>
      </c>
      <c r="N41" s="4">
        <v>17</v>
      </c>
      <c r="O41" s="4" t="str">
        <f>"004999"</f>
        <v>004999</v>
      </c>
      <c r="P41" s="3">
        <v>43320</v>
      </c>
      <c r="Q41" s="6">
        <v>48.72</v>
      </c>
      <c r="R41" s="6">
        <v>8.1088000000000005</v>
      </c>
      <c r="S41" s="6">
        <v>40.611199999999997</v>
      </c>
      <c r="T41" s="4">
        <v>170</v>
      </c>
      <c r="U41" s="3">
        <v>43326</v>
      </c>
      <c r="V41" s="4">
        <v>9845183166</v>
      </c>
      <c r="W41" s="5" t="s">
        <v>158</v>
      </c>
      <c r="X41" s="4" t="s">
        <v>46</v>
      </c>
      <c r="Y41" s="5" t="s">
        <v>47</v>
      </c>
      <c r="Z41" s="4" t="s">
        <v>62</v>
      </c>
      <c r="AA41" s="5" t="s">
        <v>63</v>
      </c>
      <c r="AB41" s="6">
        <v>0.48719999999999997</v>
      </c>
      <c r="AD41" s="7"/>
      <c r="AF41" s="7"/>
      <c r="AG41" s="7"/>
    </row>
    <row r="42" spans="1:33" x14ac:dyDescent="0.2">
      <c r="A42" s="11">
        <v>5340</v>
      </c>
      <c r="B42" s="12" t="s">
        <v>36</v>
      </c>
      <c r="C42" s="12">
        <v>43346</v>
      </c>
      <c r="D42" s="4">
        <v>184</v>
      </c>
      <c r="E42" s="5" t="s">
        <v>58</v>
      </c>
      <c r="F42" s="4" t="s">
        <v>159</v>
      </c>
      <c r="G42" s="5" t="s">
        <v>160</v>
      </c>
      <c r="H42" s="4" t="str">
        <f>"000206"</f>
        <v>000206</v>
      </c>
      <c r="I42" s="3">
        <v>42808</v>
      </c>
      <c r="J42" s="4" t="str">
        <f>"000023"</f>
        <v>000023</v>
      </c>
      <c r="K42" s="3">
        <v>42916</v>
      </c>
      <c r="L42" s="4" t="str">
        <f>"000096"</f>
        <v>000096</v>
      </c>
      <c r="M42" s="3">
        <v>42916</v>
      </c>
      <c r="N42" s="4">
        <v>17</v>
      </c>
      <c r="O42" s="4" t="str">
        <f>"005484"</f>
        <v>005484</v>
      </c>
      <c r="P42" s="3">
        <v>43340</v>
      </c>
      <c r="Q42" s="6">
        <v>17.803599999999999</v>
      </c>
      <c r="R42" s="6">
        <v>2.2547999999999999</v>
      </c>
      <c r="S42" s="6">
        <v>15.5488</v>
      </c>
      <c r="T42" s="4">
        <v>189</v>
      </c>
      <c r="U42" s="3">
        <v>43346</v>
      </c>
      <c r="V42" s="4">
        <v>9902533880</v>
      </c>
      <c r="W42" s="5" t="s">
        <v>161</v>
      </c>
      <c r="X42" s="4" t="s">
        <v>30</v>
      </c>
      <c r="Y42" s="5" t="s">
        <v>31</v>
      </c>
      <c r="Z42" s="4" t="s">
        <v>62</v>
      </c>
      <c r="AA42" s="5" t="s">
        <v>63</v>
      </c>
      <c r="AB42" s="6">
        <f t="shared" ref="AB42:AB54" si="0">Q42/100</f>
        <v>0.178036</v>
      </c>
      <c r="AD42" s="7"/>
      <c r="AF42" s="7"/>
      <c r="AG42" s="7"/>
    </row>
    <row r="43" spans="1:33" x14ac:dyDescent="0.2">
      <c r="A43" s="11">
        <v>5341</v>
      </c>
      <c r="B43" s="12" t="s">
        <v>36</v>
      </c>
      <c r="C43" s="12">
        <v>43346</v>
      </c>
      <c r="D43" s="4">
        <v>184</v>
      </c>
      <c r="E43" s="5" t="s">
        <v>58</v>
      </c>
      <c r="F43" s="4" t="s">
        <v>162</v>
      </c>
      <c r="G43" s="5" t="s">
        <v>163</v>
      </c>
      <c r="H43" s="4" t="str">
        <f>"000003"</f>
        <v>000003</v>
      </c>
      <c r="I43" s="3">
        <v>42831</v>
      </c>
      <c r="J43" s="4" t="str">
        <f>"000047"</f>
        <v>000047</v>
      </c>
      <c r="K43" s="3">
        <v>42916</v>
      </c>
      <c r="L43" s="4" t="str">
        <f>"000164"</f>
        <v>000164</v>
      </c>
      <c r="M43" s="3">
        <v>42916</v>
      </c>
      <c r="N43" s="4">
        <v>17</v>
      </c>
      <c r="O43" s="4" t="str">
        <f>"005489"</f>
        <v>005489</v>
      </c>
      <c r="P43" s="3">
        <v>43340</v>
      </c>
      <c r="Q43" s="6">
        <v>24.442</v>
      </c>
      <c r="R43" s="6">
        <v>3.0990000000000002</v>
      </c>
      <c r="S43" s="6">
        <v>21.343</v>
      </c>
      <c r="T43" s="4">
        <v>189</v>
      </c>
      <c r="U43" s="3">
        <v>43346</v>
      </c>
      <c r="V43" s="4">
        <v>9448644063</v>
      </c>
      <c r="W43" s="5" t="s">
        <v>94</v>
      </c>
      <c r="X43" s="4" t="s">
        <v>30</v>
      </c>
      <c r="Y43" s="5" t="s">
        <v>31</v>
      </c>
      <c r="Z43" s="4" t="s">
        <v>62</v>
      </c>
      <c r="AA43" s="5" t="s">
        <v>63</v>
      </c>
      <c r="AB43" s="6">
        <f t="shared" si="0"/>
        <v>0.24442</v>
      </c>
      <c r="AD43" s="7"/>
      <c r="AF43" s="7"/>
      <c r="AG43" s="7"/>
    </row>
    <row r="44" spans="1:33" x14ac:dyDescent="0.2">
      <c r="A44" s="11">
        <v>5342</v>
      </c>
      <c r="B44" s="12" t="s">
        <v>36</v>
      </c>
      <c r="C44" s="12">
        <v>43346</v>
      </c>
      <c r="D44" s="4">
        <v>184</v>
      </c>
      <c r="E44" s="5" t="s">
        <v>58</v>
      </c>
      <c r="F44" s="4" t="s">
        <v>164</v>
      </c>
      <c r="G44" s="5" t="s">
        <v>165</v>
      </c>
      <c r="H44" s="4" t="str">
        <f>"000a96"</f>
        <v>000a96</v>
      </c>
      <c r="I44" s="3">
        <v>42544</v>
      </c>
      <c r="J44" s="4" t="str">
        <f>"000035"</f>
        <v>000035</v>
      </c>
      <c r="K44" s="3">
        <v>42605</v>
      </c>
      <c r="L44" s="4" t="str">
        <f>"000134"</f>
        <v>000134</v>
      </c>
      <c r="M44" s="3">
        <v>42612</v>
      </c>
      <c r="N44" s="4">
        <v>16</v>
      </c>
      <c r="O44" s="4" t="str">
        <f>"005331"</f>
        <v>005331</v>
      </c>
      <c r="P44" s="3">
        <v>43333</v>
      </c>
      <c r="Q44" s="6">
        <v>29.893000000000001</v>
      </c>
      <c r="R44" s="6">
        <v>4.9458000000000002</v>
      </c>
      <c r="S44" s="6">
        <v>24.947199999999999</v>
      </c>
      <c r="T44" s="4">
        <v>193</v>
      </c>
      <c r="U44" s="3">
        <v>43346</v>
      </c>
      <c r="V44" s="4">
        <v>9845183166</v>
      </c>
      <c r="W44" s="5" t="s">
        <v>39</v>
      </c>
      <c r="X44" s="4" t="s">
        <v>46</v>
      </c>
      <c r="Y44" s="5" t="s">
        <v>47</v>
      </c>
      <c r="Z44" s="4" t="s">
        <v>62</v>
      </c>
      <c r="AA44" s="5" t="s">
        <v>63</v>
      </c>
      <c r="AB44" s="6">
        <f t="shared" si="0"/>
        <v>0.29893000000000003</v>
      </c>
      <c r="AD44" s="7"/>
      <c r="AF44" s="7"/>
      <c r="AG44" s="7"/>
    </row>
    <row r="45" spans="1:33" x14ac:dyDescent="0.2">
      <c r="A45" s="11">
        <v>5343</v>
      </c>
      <c r="B45" s="12" t="s">
        <v>36</v>
      </c>
      <c r="C45" s="12">
        <v>43346</v>
      </c>
      <c r="D45" s="4">
        <v>184</v>
      </c>
      <c r="E45" s="5" t="s">
        <v>58</v>
      </c>
      <c r="F45" s="4" t="s">
        <v>166</v>
      </c>
      <c r="G45" s="5" t="s">
        <v>167</v>
      </c>
      <c r="H45" s="4" t="str">
        <f>"000141"</f>
        <v>000141</v>
      </c>
      <c r="I45" s="3">
        <v>42667</v>
      </c>
      <c r="J45" s="4" t="str">
        <f>"000087"</f>
        <v>000087</v>
      </c>
      <c r="K45" s="3">
        <v>42703</v>
      </c>
      <c r="L45" s="4" t="str">
        <f>"000215"</f>
        <v>000215</v>
      </c>
      <c r="M45" s="3">
        <v>42699</v>
      </c>
      <c r="N45" s="4">
        <v>17</v>
      </c>
      <c r="O45" s="4" t="str">
        <f>"005333"</f>
        <v>005333</v>
      </c>
      <c r="P45" s="3">
        <v>43333</v>
      </c>
      <c r="Q45" s="6">
        <v>48.99</v>
      </c>
      <c r="R45" s="6">
        <v>8.1443999999999992</v>
      </c>
      <c r="S45" s="6">
        <v>40.845599999999997</v>
      </c>
      <c r="T45" s="4">
        <v>193</v>
      </c>
      <c r="U45" s="3">
        <v>43346</v>
      </c>
      <c r="V45" s="4">
        <v>9845183166</v>
      </c>
      <c r="W45" s="5" t="s">
        <v>39</v>
      </c>
      <c r="X45" s="4" t="s">
        <v>46</v>
      </c>
      <c r="Y45" s="5" t="s">
        <v>47</v>
      </c>
      <c r="Z45" s="4" t="s">
        <v>62</v>
      </c>
      <c r="AA45" s="5" t="s">
        <v>63</v>
      </c>
      <c r="AB45" s="6">
        <f t="shared" si="0"/>
        <v>0.4899</v>
      </c>
      <c r="AD45" s="7"/>
      <c r="AF45" s="7"/>
      <c r="AG45" s="7"/>
    </row>
    <row r="46" spans="1:33" x14ac:dyDescent="0.2">
      <c r="A46" s="11">
        <v>5344</v>
      </c>
      <c r="B46" s="12" t="s">
        <v>36</v>
      </c>
      <c r="C46" s="12">
        <v>43346</v>
      </c>
      <c r="D46" s="4">
        <v>184</v>
      </c>
      <c r="E46" s="5" t="s">
        <v>58</v>
      </c>
      <c r="F46" s="4" t="s">
        <v>168</v>
      </c>
      <c r="G46" s="5" t="s">
        <v>169</v>
      </c>
      <c r="H46" s="4" t="str">
        <f>"000143"</f>
        <v>000143</v>
      </c>
      <c r="I46" s="3">
        <v>42667</v>
      </c>
      <c r="J46" s="4" t="str">
        <f>"000085"</f>
        <v>000085</v>
      </c>
      <c r="K46" s="3">
        <v>42699</v>
      </c>
      <c r="L46" s="4" t="str">
        <f>"000214"</f>
        <v>000214</v>
      </c>
      <c r="M46" s="3">
        <v>42699</v>
      </c>
      <c r="N46" s="4">
        <v>17</v>
      </c>
      <c r="O46" s="4" t="str">
        <f>"005337"</f>
        <v>005337</v>
      </c>
      <c r="P46" s="3">
        <v>43333</v>
      </c>
      <c r="Q46" s="6">
        <v>48.97</v>
      </c>
      <c r="R46" s="6">
        <v>8.1417999999999999</v>
      </c>
      <c r="S46" s="6">
        <v>40.828200000000002</v>
      </c>
      <c r="T46" s="4">
        <v>193</v>
      </c>
      <c r="U46" s="3">
        <v>43346</v>
      </c>
      <c r="V46" s="4">
        <v>9845183166</v>
      </c>
      <c r="W46" s="5" t="s">
        <v>39</v>
      </c>
      <c r="X46" s="4" t="s">
        <v>46</v>
      </c>
      <c r="Y46" s="5" t="s">
        <v>47</v>
      </c>
      <c r="Z46" s="4" t="s">
        <v>62</v>
      </c>
      <c r="AA46" s="5" t="s">
        <v>63</v>
      </c>
      <c r="AB46" s="6">
        <f t="shared" si="0"/>
        <v>0.48969999999999997</v>
      </c>
      <c r="AD46" s="7"/>
      <c r="AF46" s="7"/>
      <c r="AG46" s="7"/>
    </row>
    <row r="47" spans="1:33" x14ac:dyDescent="0.2">
      <c r="A47" s="11">
        <v>5345</v>
      </c>
      <c r="B47" s="12" t="s">
        <v>36</v>
      </c>
      <c r="C47" s="12">
        <v>43346</v>
      </c>
      <c r="D47" s="4">
        <v>184</v>
      </c>
      <c r="E47" s="5" t="s">
        <v>58</v>
      </c>
      <c r="F47" s="4" t="s">
        <v>170</v>
      </c>
      <c r="G47" s="5" t="s">
        <v>171</v>
      </c>
      <c r="H47" s="4" t="str">
        <f>"000142"</f>
        <v>000142</v>
      </c>
      <c r="I47" s="3">
        <v>42667</v>
      </c>
      <c r="J47" s="4" t="str">
        <f>"000088"</f>
        <v>000088</v>
      </c>
      <c r="K47" s="3">
        <v>42704</v>
      </c>
      <c r="L47" s="4" t="str">
        <f>"000216"</f>
        <v>000216</v>
      </c>
      <c r="M47" s="3">
        <v>42699</v>
      </c>
      <c r="N47" s="4">
        <v>17</v>
      </c>
      <c r="O47" s="4" t="str">
        <f>"005338"</f>
        <v>005338</v>
      </c>
      <c r="P47" s="3">
        <v>43333</v>
      </c>
      <c r="Q47" s="6">
        <v>48.99</v>
      </c>
      <c r="R47" s="6">
        <v>8.1340000000000003</v>
      </c>
      <c r="S47" s="6">
        <v>40.856000000000002</v>
      </c>
      <c r="T47" s="4">
        <v>193</v>
      </c>
      <c r="U47" s="3">
        <v>43346</v>
      </c>
      <c r="V47" s="4">
        <v>9845183166</v>
      </c>
      <c r="W47" s="5" t="s">
        <v>39</v>
      </c>
      <c r="X47" s="4" t="s">
        <v>46</v>
      </c>
      <c r="Y47" s="5" t="s">
        <v>47</v>
      </c>
      <c r="Z47" s="4" t="s">
        <v>62</v>
      </c>
      <c r="AA47" s="5" t="s">
        <v>63</v>
      </c>
      <c r="AB47" s="6">
        <f t="shared" si="0"/>
        <v>0.4899</v>
      </c>
      <c r="AD47" s="7"/>
      <c r="AF47" s="7"/>
      <c r="AG47" s="7"/>
    </row>
    <row r="48" spans="1:33" x14ac:dyDescent="0.2">
      <c r="A48" s="11">
        <v>5761</v>
      </c>
      <c r="B48" s="12" t="s">
        <v>36</v>
      </c>
      <c r="C48" s="12">
        <v>43370</v>
      </c>
      <c r="D48" s="4">
        <v>184</v>
      </c>
      <c r="E48" s="5" t="s">
        <v>58</v>
      </c>
      <c r="F48" s="4" t="s">
        <v>172</v>
      </c>
      <c r="G48" s="5" t="s">
        <v>173</v>
      </c>
      <c r="H48" s="4" t="str">
        <f>"000005"</f>
        <v>000005</v>
      </c>
      <c r="I48" s="3">
        <v>43111</v>
      </c>
      <c r="J48" s="4" t="str">
        <f>"000020"</f>
        <v>000020</v>
      </c>
      <c r="K48" s="3">
        <v>43350</v>
      </c>
      <c r="L48" s="4" t="str">
        <f>"000133"</f>
        <v>000133</v>
      </c>
      <c r="M48" s="3">
        <v>43354</v>
      </c>
      <c r="N48" s="4">
        <v>17</v>
      </c>
      <c r="O48" s="4" t="str">
        <f>"005999"</f>
        <v>005999</v>
      </c>
      <c r="P48" s="3">
        <v>43369</v>
      </c>
      <c r="Q48" s="6">
        <v>36.174900000000001</v>
      </c>
      <c r="R48" s="6">
        <v>3.0385</v>
      </c>
      <c r="S48" s="6">
        <v>33.136400000000002</v>
      </c>
      <c r="T48" s="4">
        <v>214</v>
      </c>
      <c r="U48" s="3">
        <v>43370</v>
      </c>
      <c r="V48" s="4">
        <v>9480828220</v>
      </c>
      <c r="W48" s="5" t="s">
        <v>55</v>
      </c>
      <c r="X48" s="4" t="s">
        <v>37</v>
      </c>
      <c r="Y48" s="5" t="s">
        <v>38</v>
      </c>
      <c r="Z48" s="4" t="s">
        <v>48</v>
      </c>
      <c r="AA48" s="5" t="s">
        <v>49</v>
      </c>
      <c r="AB48" s="6">
        <f t="shared" si="0"/>
        <v>0.36174899999999999</v>
      </c>
      <c r="AD48" s="7"/>
      <c r="AF48" s="7"/>
      <c r="AG48" s="7"/>
    </row>
    <row r="49" spans="1:33" x14ac:dyDescent="0.2">
      <c r="A49" s="11">
        <v>5762</v>
      </c>
      <c r="B49" s="12" t="s">
        <v>36</v>
      </c>
      <c r="C49" s="12">
        <v>43370</v>
      </c>
      <c r="D49" s="4">
        <v>184</v>
      </c>
      <c r="E49" s="5" t="s">
        <v>58</v>
      </c>
      <c r="F49" s="4" t="s">
        <v>174</v>
      </c>
      <c r="G49" s="5" t="s">
        <v>175</v>
      </c>
      <c r="H49" s="4" t="str">
        <f>"000004"</f>
        <v>000004</v>
      </c>
      <c r="I49" s="3">
        <v>42831</v>
      </c>
      <c r="J49" s="4" t="str">
        <f>"0003"</f>
        <v>0003</v>
      </c>
      <c r="K49" s="3">
        <v>1</v>
      </c>
      <c r="L49" s="4" t="str">
        <f>"000008"</f>
        <v>000008</v>
      </c>
      <c r="M49" s="3">
        <v>42853</v>
      </c>
      <c r="N49" s="4">
        <v>17</v>
      </c>
      <c r="O49" s="4" t="str">
        <f>"005889"</f>
        <v>005889</v>
      </c>
      <c r="P49" s="3">
        <v>43367</v>
      </c>
      <c r="Q49" s="6">
        <v>18.033000000000001</v>
      </c>
      <c r="R49" s="6">
        <v>2.7454999999999998</v>
      </c>
      <c r="S49" s="6">
        <v>15.2875</v>
      </c>
      <c r="T49" s="4">
        <v>217</v>
      </c>
      <c r="U49" s="3">
        <v>43370</v>
      </c>
      <c r="V49" s="4">
        <v>9448068702</v>
      </c>
      <c r="W49" s="5" t="s">
        <v>176</v>
      </c>
      <c r="X49" s="4" t="s">
        <v>30</v>
      </c>
      <c r="Y49" s="5" t="s">
        <v>31</v>
      </c>
      <c r="Z49" s="4" t="s">
        <v>62</v>
      </c>
      <c r="AA49" s="5" t="s">
        <v>63</v>
      </c>
      <c r="AB49" s="6">
        <f t="shared" si="0"/>
        <v>0.18033000000000002</v>
      </c>
      <c r="AD49" s="7"/>
      <c r="AF49" s="7"/>
      <c r="AG49" s="7"/>
    </row>
    <row r="50" spans="1:33" x14ac:dyDescent="0.2">
      <c r="A50" s="11">
        <v>6654</v>
      </c>
      <c r="B50" s="12" t="s">
        <v>177</v>
      </c>
      <c r="C50" s="12">
        <v>43389</v>
      </c>
      <c r="D50" s="4">
        <v>184</v>
      </c>
      <c r="E50" s="5" t="s">
        <v>58</v>
      </c>
      <c r="F50" s="4" t="s">
        <v>178</v>
      </c>
      <c r="G50" s="5" t="s">
        <v>179</v>
      </c>
      <c r="H50" s="4" t="str">
        <f>"000134"</f>
        <v>000134</v>
      </c>
      <c r="I50" s="3">
        <v>42910</v>
      </c>
      <c r="J50" s="4" t="str">
        <f>"000078"</f>
        <v>000078</v>
      </c>
      <c r="K50" s="3">
        <v>42916</v>
      </c>
      <c r="L50" s="4" t="str">
        <f>"000209"</f>
        <v>000209</v>
      </c>
      <c r="M50" s="3">
        <v>42916</v>
      </c>
      <c r="N50" s="4">
        <v>17</v>
      </c>
      <c r="O50" s="4" t="str">
        <f>"006446"</f>
        <v>006446</v>
      </c>
      <c r="P50" s="3">
        <v>43382</v>
      </c>
      <c r="Q50" s="6">
        <v>49.698500000000003</v>
      </c>
      <c r="R50" s="6">
        <v>7.2784000000000004</v>
      </c>
      <c r="S50" s="6">
        <v>42.420099999999998</v>
      </c>
      <c r="T50" s="4">
        <v>241</v>
      </c>
      <c r="U50" s="3">
        <v>43389</v>
      </c>
      <c r="V50" s="4">
        <v>9845996306</v>
      </c>
      <c r="W50" s="5" t="s">
        <v>39</v>
      </c>
      <c r="X50" s="4" t="s">
        <v>46</v>
      </c>
      <c r="Y50" s="5" t="s">
        <v>47</v>
      </c>
      <c r="Z50" s="4" t="s">
        <v>62</v>
      </c>
      <c r="AA50" s="5" t="s">
        <v>63</v>
      </c>
      <c r="AB50" s="6">
        <f t="shared" si="0"/>
        <v>0.49698500000000001</v>
      </c>
      <c r="AD50" s="7"/>
      <c r="AF50" s="7"/>
      <c r="AG50" s="7"/>
    </row>
    <row r="51" spans="1:33" x14ac:dyDescent="0.2">
      <c r="A51" s="11">
        <v>6655</v>
      </c>
      <c r="B51" s="12" t="s">
        <v>177</v>
      </c>
      <c r="C51" s="12">
        <v>43389</v>
      </c>
      <c r="D51" s="4">
        <v>184</v>
      </c>
      <c r="E51" s="5" t="s">
        <v>58</v>
      </c>
      <c r="F51" s="4" t="s">
        <v>180</v>
      </c>
      <c r="G51" s="5" t="s">
        <v>181</v>
      </c>
      <c r="H51" s="4" t="str">
        <f>"000a70"</f>
        <v>000a70</v>
      </c>
      <c r="I51" s="3">
        <v>42849</v>
      </c>
      <c r="J51" s="4" t="str">
        <f>"000014"</f>
        <v>000014</v>
      </c>
      <c r="K51" s="3">
        <v>43096</v>
      </c>
      <c r="L51" s="4" t="str">
        <f>"000062"</f>
        <v>000062</v>
      </c>
      <c r="M51" s="3">
        <v>43140</v>
      </c>
      <c r="N51" s="4">
        <v>15</v>
      </c>
      <c r="O51" s="4" t="str">
        <f>"006643"</f>
        <v>006643</v>
      </c>
      <c r="P51" s="3">
        <v>43385</v>
      </c>
      <c r="Q51" s="6">
        <v>98.474000000000004</v>
      </c>
      <c r="R51" s="6">
        <v>12.07455</v>
      </c>
      <c r="S51" s="6">
        <v>86.399450000000002</v>
      </c>
      <c r="T51" s="4">
        <v>241</v>
      </c>
      <c r="U51" s="3">
        <v>43389</v>
      </c>
      <c r="V51" s="4">
        <v>1234567890</v>
      </c>
      <c r="W51" s="5" t="s">
        <v>182</v>
      </c>
      <c r="X51" s="4" t="s">
        <v>183</v>
      </c>
      <c r="Y51" s="5" t="s">
        <v>184</v>
      </c>
      <c r="Z51" s="4" t="s">
        <v>62</v>
      </c>
      <c r="AA51" s="5" t="s">
        <v>63</v>
      </c>
      <c r="AB51" s="6">
        <f t="shared" si="0"/>
        <v>0.98474000000000006</v>
      </c>
      <c r="AD51" s="7"/>
      <c r="AF51" s="7"/>
      <c r="AG51" s="7"/>
    </row>
    <row r="52" spans="1:33" x14ac:dyDescent="0.2">
      <c r="A52" s="11">
        <v>6656</v>
      </c>
      <c r="B52" s="12" t="s">
        <v>177</v>
      </c>
      <c r="C52" s="12">
        <v>43389</v>
      </c>
      <c r="D52" s="4">
        <v>184</v>
      </c>
      <c r="E52" s="5" t="s">
        <v>58</v>
      </c>
      <c r="F52" s="4" t="s">
        <v>185</v>
      </c>
      <c r="G52" s="5" t="s">
        <v>186</v>
      </c>
      <c r="H52" s="4" t="str">
        <f>"000071"</f>
        <v>000071</v>
      </c>
      <c r="I52" s="3">
        <v>42849</v>
      </c>
      <c r="J52" s="4" t="str">
        <f>"000016"</f>
        <v>000016</v>
      </c>
      <c r="K52" s="3">
        <v>43096</v>
      </c>
      <c r="L52" s="4" t="str">
        <f>"000063"</f>
        <v>000063</v>
      </c>
      <c r="M52" s="3">
        <v>43140</v>
      </c>
      <c r="N52" s="4">
        <v>15</v>
      </c>
      <c r="O52" s="4" t="str">
        <f>"006644"</f>
        <v>006644</v>
      </c>
      <c r="P52" s="3">
        <v>43385</v>
      </c>
      <c r="Q52" s="6">
        <v>98.483000000000004</v>
      </c>
      <c r="R52" s="6">
        <v>11.97235</v>
      </c>
      <c r="S52" s="6">
        <v>86.510649999999998</v>
      </c>
      <c r="T52" s="4">
        <v>241</v>
      </c>
      <c r="U52" s="3">
        <v>43389</v>
      </c>
      <c r="V52" s="4">
        <v>1234567891</v>
      </c>
      <c r="W52" s="5" t="s">
        <v>182</v>
      </c>
      <c r="X52" s="4" t="s">
        <v>46</v>
      </c>
      <c r="Y52" s="5" t="s">
        <v>47</v>
      </c>
      <c r="Z52" s="4" t="s">
        <v>62</v>
      </c>
      <c r="AA52" s="5" t="s">
        <v>63</v>
      </c>
      <c r="AB52" s="6">
        <f t="shared" si="0"/>
        <v>0.98483000000000009</v>
      </c>
      <c r="AD52" s="7"/>
      <c r="AF52" s="7"/>
      <c r="AG52" s="7"/>
    </row>
    <row r="53" spans="1:33" x14ac:dyDescent="0.2">
      <c r="A53" s="11">
        <v>7358</v>
      </c>
      <c r="B53" s="12" t="s">
        <v>187</v>
      </c>
      <c r="C53" s="12">
        <v>43424</v>
      </c>
      <c r="D53" s="4">
        <v>184</v>
      </c>
      <c r="E53" s="5" t="s">
        <v>58</v>
      </c>
      <c r="F53" s="4" t="s">
        <v>188</v>
      </c>
      <c r="G53" s="5" t="s">
        <v>189</v>
      </c>
      <c r="H53" s="4" t="str">
        <f>"000001"</f>
        <v>000001</v>
      </c>
      <c r="I53" s="3">
        <v>43237</v>
      </c>
      <c r="J53" s="4" t="str">
        <f>"000066"</f>
        <v>000066</v>
      </c>
      <c r="K53" s="3">
        <v>43265</v>
      </c>
      <c r="L53" s="4" t="str">
        <f>"000179"</f>
        <v>000179</v>
      </c>
      <c r="M53" s="3">
        <v>43293</v>
      </c>
      <c r="N53" s="4">
        <v>18</v>
      </c>
      <c r="O53" s="4" t="str">
        <f>"007197"</f>
        <v>007197</v>
      </c>
      <c r="P53" s="3">
        <v>43404</v>
      </c>
      <c r="Q53" s="6">
        <v>32.868000000000002</v>
      </c>
      <c r="R53" s="6">
        <v>3.6360000000000001</v>
      </c>
      <c r="S53" s="6">
        <v>29.231999999999999</v>
      </c>
      <c r="T53" s="4">
        <v>271</v>
      </c>
      <c r="U53" s="3">
        <v>43424</v>
      </c>
      <c r="V53" s="4">
        <v>9880334400</v>
      </c>
      <c r="W53" s="5" t="s">
        <v>45</v>
      </c>
      <c r="X53" s="4" t="s">
        <v>190</v>
      </c>
      <c r="Y53" s="5" t="s">
        <v>191</v>
      </c>
      <c r="Z53" s="4" t="s">
        <v>62</v>
      </c>
      <c r="AA53" s="5" t="s">
        <v>63</v>
      </c>
      <c r="AB53" s="6">
        <f t="shared" si="0"/>
        <v>0.32868000000000003</v>
      </c>
      <c r="AD53" s="7"/>
      <c r="AF53" s="7"/>
      <c r="AG53" s="7"/>
    </row>
    <row r="54" spans="1:33" x14ac:dyDescent="0.2">
      <c r="A54" s="11">
        <v>7597</v>
      </c>
      <c r="B54" s="12" t="s">
        <v>192</v>
      </c>
      <c r="C54" s="12">
        <v>43437</v>
      </c>
      <c r="D54" s="4">
        <v>184</v>
      </c>
      <c r="E54" s="5" t="s">
        <v>58</v>
      </c>
      <c r="F54" s="4" t="s">
        <v>193</v>
      </c>
      <c r="G54" s="5" t="s">
        <v>194</v>
      </c>
      <c r="H54" s="4" t="str">
        <f>"000202"</f>
        <v>000202</v>
      </c>
      <c r="I54" s="3">
        <v>42405</v>
      </c>
      <c r="J54" s="4" t="str">
        <f>"000002"</f>
        <v>000002</v>
      </c>
      <c r="K54" s="3">
        <v>42852</v>
      </c>
      <c r="L54" s="4" t="str">
        <f>"000003"</f>
        <v>000003</v>
      </c>
      <c r="M54" s="3">
        <v>42852</v>
      </c>
      <c r="N54" s="4">
        <v>16</v>
      </c>
      <c r="O54" s="4" t="str">
        <f>"007369"</f>
        <v>007369</v>
      </c>
      <c r="P54" s="3">
        <v>43420</v>
      </c>
      <c r="Q54" s="6">
        <v>7.3</v>
      </c>
      <c r="R54" s="6">
        <v>0.86150000000000004</v>
      </c>
      <c r="S54" s="6">
        <v>6.4385000000000003</v>
      </c>
      <c r="T54" s="4">
        <v>279</v>
      </c>
      <c r="U54" s="3">
        <v>43437</v>
      </c>
      <c r="V54" s="4">
        <v>9845752097</v>
      </c>
      <c r="W54" s="5" t="s">
        <v>91</v>
      </c>
      <c r="X54" s="4" t="s">
        <v>41</v>
      </c>
      <c r="Y54" s="5" t="s">
        <v>40</v>
      </c>
      <c r="Z54" s="4" t="s">
        <v>62</v>
      </c>
      <c r="AA54" s="5" t="s">
        <v>63</v>
      </c>
      <c r="AB54" s="6">
        <f t="shared" si="0"/>
        <v>7.2999999999999995E-2</v>
      </c>
      <c r="AD54" s="7"/>
      <c r="AF54" s="7"/>
      <c r="AG54" s="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2019-01-08T07:19:18Z</cp:lastPrinted>
  <dcterms:created xsi:type="dcterms:W3CDTF">2019-01-08T05:01:28Z</dcterms:created>
  <dcterms:modified xsi:type="dcterms:W3CDTF">2019-01-17T15:02:55Z</dcterms:modified>
</cp:coreProperties>
</file>