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8" i="1" l="1"/>
  <c r="O58" i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<sst xmlns="http://schemas.openxmlformats.org/spreadsheetml/2006/main" count="541" uniqueCount="195">
  <si>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</si>
  <si>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</si>
  <si>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</si>
  <si>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</si>
  <si>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</si>
  <si>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</si>
  <si>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</si>
  <si>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</si>
  <si>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</si>
  <si>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</si>
  <si>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</si>
  <si>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</si>
  <si>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</si>
  <si>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</si>
  <si>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</si>
  <si>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</si>
  <si>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</si>
  <si>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</si>
  <si>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</si>
  <si>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</si>
  <si>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</si>
  <si>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</si>
  <si>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</si>
  <si>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</si>
  <si>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</si>
  <si>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</si>
  <si>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</si>
  <si>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</si>
  <si>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</si>
  <si>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</si>
  <si>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</si>
  <si>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</si>
  <si>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</si>
  <si>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</si>
  <si>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</si>
  <si>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</si>
  <si>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</si>
  <si>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</si>
  <si>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</si>
  <si>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</si>
  <si>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</si>
  <si>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KRIDL</t>
  </si>
  <si>
    <t>Water Supply New Areas</t>
  </si>
  <si>
    <t>P1802</t>
  </si>
  <si>
    <t>June</t>
  </si>
  <si>
    <t>P3158</t>
  </si>
  <si>
    <t>SIP Infrastructure Project works</t>
  </si>
  <si>
    <t>M/s KRIDL</t>
  </si>
  <si>
    <t>P2434</t>
  </si>
  <si>
    <t>Development works for Bangalore City</t>
  </si>
  <si>
    <t>P3089</t>
  </si>
  <si>
    <t>Special Development works in 7 CMC and 1 TMC area in BBMP</t>
  </si>
  <si>
    <t>P2906</t>
  </si>
  <si>
    <t>Solid waste management basic infra works unde 13th finance commission grants (Est 200 Cr)</t>
  </si>
  <si>
    <t>ddo439</t>
  </si>
  <si>
    <t xml:space="preserve"> Executive Engineer Electrical Division Bomanahalli Zone</t>
  </si>
  <si>
    <t>Sri B K Vinod Kumar</t>
  </si>
  <si>
    <t>RAVI KUMAR S</t>
  </si>
  <si>
    <t>Singa Sandra</t>
  </si>
  <si>
    <t>191-13-000061</t>
  </si>
  <si>
    <t>Construction of Samudaya Bhavana at Kudlu colony in ward no 191</t>
  </si>
  <si>
    <t>venkatakrishna</t>
  </si>
  <si>
    <t>P2652</t>
  </si>
  <si>
    <t>Contribution to Community Benefits</t>
  </si>
  <si>
    <t>ddo443</t>
  </si>
  <si>
    <t xml:space="preserve"> Assistant Executive Engineer Begur Sub Division Bomanahalli Zone</t>
  </si>
  <si>
    <t>191-13-000066</t>
  </si>
  <si>
    <t>Construction of Samudaya Bhavana at Parappana agrahara colony in ward no 191</t>
  </si>
  <si>
    <t>venkata krishna</t>
  </si>
  <si>
    <t>191-17-000058</t>
  </si>
  <si>
    <t>Improvements to roads and drains to Linking roads (16th main and surrounding roads) AECS Layout A block of Kudlu village in ward no 191 Singasandra</t>
  </si>
  <si>
    <t>191-17-000051</t>
  </si>
  <si>
    <t>Improvements to roads and drains in Slum board main and cross roads at Kudlu village in ward no 191 Singasandra</t>
  </si>
  <si>
    <t>191-17-000057</t>
  </si>
  <si>
    <t>Re-Asphalting to roads of Jayappa layout (1st to 3rd cross) of of Kudlu village in ward no 191 Singasandra</t>
  </si>
  <si>
    <t>191-17-000039</t>
  </si>
  <si>
    <t>Improvements of roads and drains for main and cross roads of GK Layout (14th main cross roads) in ward no 191 Singasandra</t>
  </si>
  <si>
    <t>191-17-000053</t>
  </si>
  <si>
    <t>Drilling of Borerwells and errection of pumpset at Kudlu Village in ward no 191 Singasandra</t>
  </si>
  <si>
    <t>191-17-000042</t>
  </si>
  <si>
    <t>Improvements of roads and drains at Lake side roads of Naganathpura village in ward no 191 Singasandra</t>
  </si>
  <si>
    <t>191-17-000041</t>
  </si>
  <si>
    <t>Improvements of roads and drains for main and cross roads of Naganathpura village in ward no 191 Singasandra</t>
  </si>
  <si>
    <t>191-17-000035</t>
  </si>
  <si>
    <t>Improvements to roads and drains at Cross roads for Doddanagamangala main road in ward No 191 Singasandra</t>
  </si>
  <si>
    <t>191-17-000032</t>
  </si>
  <si>
    <t>Improvements to roads and drains to main road of Shivareddy layout at Naganathpura village in ward No 191 Singasandra</t>
  </si>
  <si>
    <t>191-17-000034</t>
  </si>
  <si>
    <t>Improvements to roads and drains of Venkateshwara layout Parappana agrahara village in ward No 191 Singasandra</t>
  </si>
  <si>
    <t>191-17-000033</t>
  </si>
  <si>
    <t>Improvements to Roads and drains of Narayanappa layout Naganathpura village in ward no 191 Singasandra</t>
  </si>
  <si>
    <t>191-16-000003</t>
  </si>
  <si>
    <t>Filling of pot holes in ward No 191 Singasandra POW 2015-16</t>
  </si>
  <si>
    <t>UMESH H C</t>
  </si>
  <si>
    <t>191-16-000015</t>
  </si>
  <si>
    <t>Annual Maintenance of Borewells Kudlu village and Singasandra village in ward No 191 Singasandra POW 2015-16</t>
  </si>
  <si>
    <t>ashwath narayana rao</t>
  </si>
  <si>
    <t>191-15-000017</t>
  </si>
  <si>
    <t>Annual Maintenance of Borewells Naganathapura village and Parappana Agrahara Village in ward No 191 Singasandra</t>
  </si>
  <si>
    <t>FRANICS A</t>
  </si>
  <si>
    <t>191-17-000046</t>
  </si>
  <si>
    <t>Improvements of roads and drains at Old Slum board in ward no 191</t>
  </si>
  <si>
    <t>191-18-000017</t>
  </si>
  <si>
    <t>Constructiion of RCC Drain from Vasthu Layout Ganapathi Temple to Ashraya Committee Kudlu Village in Singasandra ward no 191</t>
  </si>
  <si>
    <t>191-18-000009</t>
  </si>
  <si>
    <t>Improvements to road and drain in OB Ramesh Reddy (Perumakka ) Layout at Kudlu Grama in ward no 191</t>
  </si>
  <si>
    <t>191-18-000014</t>
  </si>
  <si>
    <t>Construction of RCC Drain at Gurappa Reddy Layout and Govindappa Reddy house surrounding Kudlu Village in Singasandra ward no 191</t>
  </si>
  <si>
    <t>191-18-000010</t>
  </si>
  <si>
    <t>Improvements to Approch roads from Avalamma Temple to AECS Layout, Kudlu Village in Singasandra ward no 191</t>
  </si>
  <si>
    <t>191-17-000061</t>
  </si>
  <si>
    <t>Engagement of Gangman and Hiring of Troctor Tippers for cleaning and maintenance of road side drains and other civil works in ward 191</t>
  </si>
  <si>
    <t>Sri Ravi Kumar S</t>
  </si>
  <si>
    <t>191-16-000017</t>
  </si>
  <si>
    <t>Supplying of drinking water through tankers at Kudlu village in ward No 191 Singasandra POW 2015-16</t>
  </si>
  <si>
    <t>Pratish Kumar S R</t>
  </si>
  <si>
    <t>191-13-000075</t>
  </si>
  <si>
    <t>Construction of dry waste Collection and storage center at Singasandra in ward no 191</t>
  </si>
  <si>
    <t>191-16-000007</t>
  </si>
  <si>
    <t>Supplying of drinking water through tankers at Parappana Agrahara village in ward No 191 Singasandra POW 2015-16</t>
  </si>
  <si>
    <t>191-16-000008</t>
  </si>
  <si>
    <t>Supplying of drinking water through tankers at Naganathapura village in ward No 191 Singasandra POW 2015-16</t>
  </si>
  <si>
    <t>191-13-000024</t>
  </si>
  <si>
    <t>ANNUAL MAINTENANCE OF BOREWELLS AT KUDLU VILLAGE IN WARD NO 191 OF BEGUR SUB DIVISION</t>
  </si>
  <si>
    <t>S N Ashwathanarayana Rao</t>
  </si>
  <si>
    <t>191-13-000076</t>
  </si>
  <si>
    <t>Drilling of Borewells and errection of pump and Motor in ward no 191</t>
  </si>
  <si>
    <t xml:space="preserve">A Francis </t>
  </si>
  <si>
    <t>191-17-000060</t>
  </si>
  <si>
    <t>Improvements to roads and drains in Ganesha layout (1st 2nd main and cross roads) of Kudlu village in ward no 191 Singasandra</t>
  </si>
  <si>
    <t>191-17-000052</t>
  </si>
  <si>
    <t>Improvements of drains and roads in Kudlu Ambedkar nagar (1st to 4th cross and surroundings areas) in ward no 191 Singasandra</t>
  </si>
  <si>
    <t>191-17-000056</t>
  </si>
  <si>
    <t>Improvments to roads and drains in Anand reddy layout of Kudlu village in ward no 191 Singasandra</t>
  </si>
  <si>
    <t>191-13-000064</t>
  </si>
  <si>
    <t>Providing C C Road at Naganathapura colony in ward no 191</t>
  </si>
  <si>
    <t>Prathish Kumar  S R</t>
  </si>
  <si>
    <t>191-15-000019</t>
  </si>
  <si>
    <t>Emergency works in ward No 191 Singasandra</t>
  </si>
  <si>
    <t>SMAAT INDIA PVT LTD</t>
  </si>
  <si>
    <t>191-16-000005</t>
  </si>
  <si>
    <t>Annual Maintenance of Sanitary in ward No 191 Singasandra POW 2015-16</t>
  </si>
  <si>
    <t>191-15-000014</t>
  </si>
  <si>
    <t>Filling of pot holes in ward No 191 Singasandra</t>
  </si>
  <si>
    <t xml:space="preserve">venkata krishna </t>
  </si>
  <si>
    <t>191-16-000001</t>
  </si>
  <si>
    <t>Annual Operation and Maintenance of street lighting system in Kudlu Singasandra AECS Layout and Associated Area of ward no- 191 singasandra Package B8A of Bommanahalli zone.</t>
  </si>
  <si>
    <t>M/s. Ganesh Electricals</t>
  </si>
  <si>
    <t>191-18-000013</t>
  </si>
  <si>
    <t>Improvements to road and drain at Ankaiah layout Kudlu Village in Singasandra ward no 191</t>
  </si>
  <si>
    <t>191-18-000002</t>
  </si>
  <si>
    <t>Providing CC Roads in Singasandra village in ward no 191</t>
  </si>
  <si>
    <t>191-18-000001</t>
  </si>
  <si>
    <t>Providing CC Drains near Anjaneya Temple Singasandra village in ward no 191</t>
  </si>
  <si>
    <t>191-16-000021</t>
  </si>
  <si>
    <t>Improvements to roads and Drains in New Layout of Naganathapura village in ward no 191</t>
  </si>
  <si>
    <t>UDAY KUMAR K</t>
  </si>
  <si>
    <t>191-16-000022</t>
  </si>
  <si>
    <t>Improvements to roads and Drains in Bhuvaneshwari layoaut of Naganathapura village in ward no 191</t>
  </si>
  <si>
    <t>uday kumar k</t>
  </si>
  <si>
    <t>October</t>
  </si>
  <si>
    <t>191-18-000006</t>
  </si>
  <si>
    <t>Construction of Pure drinking water unit in Kudlu Village Surroundings area at ward no 191 Singasandra</t>
  </si>
  <si>
    <t>191-18-000007</t>
  </si>
  <si>
    <t>Construction of Bus Shelter in  Kudlu Village Surroundings area at ward no 191 Singasandra</t>
  </si>
  <si>
    <t>191-18-000016</t>
  </si>
  <si>
    <t>Development of Burral Ground Kudlu Village in Singasandra ward no 191</t>
  </si>
  <si>
    <t>191-17-000023</t>
  </si>
  <si>
    <t>Improvements to drain and roads in Ambedkar colony and surrounding layouts of Chikkabegur in ward No. 191</t>
  </si>
  <si>
    <t>C G CHANDRAPPA</t>
  </si>
  <si>
    <t>ddo440</t>
  </si>
  <si>
    <t xml:space="preserve"> Assistant Executive Engineer Bommanahalli Sub Division Bomanahalli Zone</t>
  </si>
  <si>
    <t>191-17-000021</t>
  </si>
  <si>
    <t>Improvements and asphalting to AECS layout A block main road and other connecting roads, singasandra ward no 191</t>
  </si>
  <si>
    <t>Sri Srinivasa Construction india Pvt ltd</t>
  </si>
  <si>
    <t>191-17-000076</t>
  </si>
  <si>
    <t>Providing CC Camera at Garbage Block Spots in ward no 191.</t>
  </si>
  <si>
    <t>Sri B N Gururaja</t>
  </si>
  <si>
    <t>191-17-000022</t>
  </si>
  <si>
    <t>Improvements and reconstruction of drains and footpath in Somasundrapalya main road from Kudle BBMP office to Harlur circle in ward no 191</t>
  </si>
  <si>
    <t>Sri Srinivasa Construction india pvt ltd</t>
  </si>
  <si>
    <t>191-18-000011</t>
  </si>
  <si>
    <t>Improvements to road and drain at Kurubara Layout Kudlu Village in Singasandra ward no 191</t>
  </si>
  <si>
    <t>December</t>
  </si>
  <si>
    <t>191-16-000004</t>
  </si>
  <si>
    <t>Annual Maintenance of ward in ward No 191 Singasandra POW 2015-16</t>
  </si>
  <si>
    <t>191-16-000006</t>
  </si>
  <si>
    <t>Emergency works in ward No 191 Singasandra POW 2015-16</t>
  </si>
  <si>
    <t>S RAVI KUMAR</t>
  </si>
  <si>
    <t>191-14-000055</t>
  </si>
  <si>
    <t xml:space="preserve">Improvements and Asphalting to roads in Singasandra AECS Layout A Block in ward no 191 of  Begur sub division  </t>
  </si>
  <si>
    <t xml:space="preserve">KRIDL </t>
  </si>
  <si>
    <t>191-16-000024</t>
  </si>
  <si>
    <t>Improvements to roads and Drains for internal roads of Parappana Agrahara village layout  in ward no 191</t>
  </si>
  <si>
    <t xml:space="preserve">uday kumar 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</si>
</sst>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workbookViewId="0">
      <selection activeCell="D1" sqref="D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4.140625" style="9" customWidth="1"/>
    <col min="6" max="6" width="13.28515625" style="9" bestFit="1" customWidth="1"/>
    <col min="7" max="7" width="56" style="9" customWidth="1"/>
    <col min="8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590</v>
      </c>
      <c r="B2" s="12" t="s">
        <v>28</v>
      </c>
      <c r="C2" s="12">
        <v>43213</v>
      </c>
      <c r="D2" s="4">
        <v>191</v>
      </c>
      <c r="E2" s="5" t="s">
        <v>58</v>
      </c>
      <c r="F2" s="4" t="s">
        <v>59</v>
      </c>
      <c r="G2" s="5" t="s">
        <v>60</v>
      </c>
      <c r="H2" s="4" t="str">
        <f>"000007"</f>
        <v>000007</v>
      </c>
      <c r="I2" s="3">
        <v>41781</v>
      </c>
      <c r="J2" s="4" t="str">
        <f>"000023"</f>
        <v>000023</v>
      </c>
      <c r="K2" s="3">
        <v>43152</v>
      </c>
      <c r="L2" s="4" t="str">
        <f>"000137"</f>
        <v>000137</v>
      </c>
      <c r="M2" s="3">
        <v>43167</v>
      </c>
      <c r="N2" s="4">
        <v>13</v>
      </c>
      <c r="O2" s="4" t="str">
        <f>"000546"</f>
        <v>000546</v>
      </c>
      <c r="P2" s="3">
        <v>43203</v>
      </c>
      <c r="Q2" s="6">
        <v>20.797000000000001</v>
      </c>
      <c r="R2" s="6">
        <v>2.5975999999999999</v>
      </c>
      <c r="S2" s="6">
        <v>18.199400000000001</v>
      </c>
      <c r="T2" s="4">
        <v>21</v>
      </c>
      <c r="U2" s="3">
        <v>43213</v>
      </c>
      <c r="V2" s="4">
        <v>9141648915</v>
      </c>
      <c r="W2" s="5" t="s">
        <v>61</v>
      </c>
      <c r="X2" s="4" t="s">
        <v>62</v>
      </c>
      <c r="Y2" s="5" t="s">
        <v>63</v>
      </c>
      <c r="Z2" s="4" t="s">
        <v>64</v>
      </c>
      <c r="AA2" s="5" t="s">
        <v>65</v>
      </c>
      <c r="AB2" s="6">
        <v>0.20797000000000002</v>
      </c>
      <c r="AD2" s="7"/>
      <c r="AF2" s="7"/>
      <c r="AG2" s="7"/>
    </row>
    <row r="3" spans="1:33" x14ac:dyDescent="0.2">
      <c r="A3" s="11">
        <v>591</v>
      </c>
      <c r="B3" s="12" t="s">
        <v>28</v>
      </c>
      <c r="C3" s="12">
        <v>43213</v>
      </c>
      <c r="D3" s="4">
        <v>191</v>
      </c>
      <c r="E3" s="5" t="s">
        <v>58</v>
      </c>
      <c r="F3" s="4" t="s">
        <v>66</v>
      </c>
      <c r="G3" s="5" t="s">
        <v>67</v>
      </c>
      <c r="H3" s="4" t="str">
        <f>"000008"</f>
        <v>000008</v>
      </c>
      <c r="I3" s="3">
        <v>41781</v>
      </c>
      <c r="J3" s="4" t="str">
        <f>"000024"</f>
        <v>000024</v>
      </c>
      <c r="K3" s="3">
        <v>43152</v>
      </c>
      <c r="L3" s="4" t="str">
        <f>"000138"</f>
        <v>000138</v>
      </c>
      <c r="M3" s="3">
        <v>43168</v>
      </c>
      <c r="N3" s="4">
        <v>13</v>
      </c>
      <c r="O3" s="4" t="str">
        <f>"000548"</f>
        <v>000548</v>
      </c>
      <c r="P3" s="3">
        <v>43203</v>
      </c>
      <c r="Q3" s="6">
        <v>20.85</v>
      </c>
      <c r="R3" s="6">
        <v>2.6087500000000001</v>
      </c>
      <c r="S3" s="6">
        <v>18.241250000000001</v>
      </c>
      <c r="T3" s="4">
        <v>21</v>
      </c>
      <c r="U3" s="3">
        <v>43213</v>
      </c>
      <c r="V3" s="4">
        <v>9141648915</v>
      </c>
      <c r="W3" s="5" t="s">
        <v>68</v>
      </c>
      <c r="X3" s="4" t="s">
        <v>62</v>
      </c>
      <c r="Y3" s="5" t="s">
        <v>63</v>
      </c>
      <c r="Z3" s="4" t="s">
        <v>64</v>
      </c>
      <c r="AA3" s="5" t="s">
        <v>65</v>
      </c>
      <c r="AB3" s="6">
        <v>0.20850000000000002</v>
      </c>
      <c r="AD3" s="7"/>
      <c r="AF3" s="7"/>
      <c r="AG3" s="7"/>
    </row>
    <row r="4" spans="1:33" x14ac:dyDescent="0.2">
      <c r="A4" s="11">
        <v>1028</v>
      </c>
      <c r="B4" s="12" t="s">
        <v>35</v>
      </c>
      <c r="C4" s="12">
        <v>43229</v>
      </c>
      <c r="D4" s="4">
        <v>191</v>
      </c>
      <c r="E4" s="5" t="s">
        <v>58</v>
      </c>
      <c r="F4" s="4" t="s">
        <v>69</v>
      </c>
      <c r="G4" s="5" t="s">
        <v>70</v>
      </c>
      <c r="H4" s="4" t="str">
        <f>"00a167"</f>
        <v>00a167</v>
      </c>
      <c r="I4" s="3">
        <v>42910</v>
      </c>
      <c r="J4" s="4" t="str">
        <f>"000019"</f>
        <v>000019</v>
      </c>
      <c r="K4" s="3">
        <v>43127</v>
      </c>
      <c r="L4" s="4" t="str">
        <f>"000040"</f>
        <v>000040</v>
      </c>
      <c r="M4" s="3">
        <v>43130</v>
      </c>
      <c r="N4" s="4">
        <v>17</v>
      </c>
      <c r="O4" s="4" t="str">
        <f>"001108"</f>
        <v>001108</v>
      </c>
      <c r="P4" s="3">
        <v>43227</v>
      </c>
      <c r="Q4" s="6">
        <v>49.953499999999998</v>
      </c>
      <c r="R4" s="6">
        <v>6.2065000000000001</v>
      </c>
      <c r="S4" s="6">
        <v>43.747</v>
      </c>
      <c r="T4" s="4">
        <v>43</v>
      </c>
      <c r="U4" s="3">
        <v>43229</v>
      </c>
      <c r="V4" s="4">
        <v>9900294676</v>
      </c>
      <c r="W4" s="5" t="s">
        <v>41</v>
      </c>
      <c r="X4" s="4" t="s">
        <v>50</v>
      </c>
      <c r="Y4" s="5" t="s">
        <v>51</v>
      </c>
      <c r="Z4" s="4" t="s">
        <v>64</v>
      </c>
      <c r="AA4" s="5" t="s">
        <v>65</v>
      </c>
      <c r="AB4" s="6">
        <v>0.49953500000000001</v>
      </c>
      <c r="AD4" s="7"/>
      <c r="AF4" s="7"/>
      <c r="AG4" s="7"/>
    </row>
    <row r="5" spans="1:33" x14ac:dyDescent="0.2">
      <c r="A5" s="11">
        <v>1029</v>
      </c>
      <c r="B5" s="12" t="s">
        <v>35</v>
      </c>
      <c r="C5" s="12">
        <v>43229</v>
      </c>
      <c r="D5" s="4">
        <v>191</v>
      </c>
      <c r="E5" s="5" t="s">
        <v>58</v>
      </c>
      <c r="F5" s="4" t="s">
        <v>71</v>
      </c>
      <c r="G5" s="5" t="s">
        <v>72</v>
      </c>
      <c r="H5" s="4" t="str">
        <f>"00a159"</f>
        <v>00a159</v>
      </c>
      <c r="I5" s="3">
        <v>42910</v>
      </c>
      <c r="J5" s="4" t="str">
        <f>"000030"</f>
        <v>000030</v>
      </c>
      <c r="K5" s="3">
        <v>43159</v>
      </c>
      <c r="L5" s="4" t="str">
        <f>"000110"</f>
        <v>000110</v>
      </c>
      <c r="M5" s="3">
        <v>43159</v>
      </c>
      <c r="N5" s="4">
        <v>17</v>
      </c>
      <c r="O5" s="4" t="str">
        <f>"001110"</f>
        <v>001110</v>
      </c>
      <c r="P5" s="3">
        <v>43227</v>
      </c>
      <c r="Q5" s="6">
        <v>84.92</v>
      </c>
      <c r="R5" s="6">
        <v>10.692399999999999</v>
      </c>
      <c r="S5" s="6">
        <v>74.227599999999995</v>
      </c>
      <c r="T5" s="4">
        <v>43</v>
      </c>
      <c r="U5" s="3">
        <v>43229</v>
      </c>
      <c r="V5" s="4">
        <v>9900294676</v>
      </c>
      <c r="W5" s="5" t="s">
        <v>41</v>
      </c>
      <c r="X5" s="4" t="s">
        <v>50</v>
      </c>
      <c r="Y5" s="5" t="s">
        <v>51</v>
      </c>
      <c r="Z5" s="4" t="s">
        <v>64</v>
      </c>
      <c r="AA5" s="5" t="s">
        <v>65</v>
      </c>
      <c r="AB5" s="6">
        <v>0.84920000000000007</v>
      </c>
      <c r="AD5" s="7"/>
      <c r="AF5" s="7"/>
      <c r="AG5" s="7"/>
    </row>
    <row r="6" spans="1:33" x14ac:dyDescent="0.2">
      <c r="A6" s="11">
        <v>1030</v>
      </c>
      <c r="B6" s="12" t="s">
        <v>35</v>
      </c>
      <c r="C6" s="12">
        <v>43229</v>
      </c>
      <c r="D6" s="4">
        <v>191</v>
      </c>
      <c r="E6" s="5" t="s">
        <v>58</v>
      </c>
      <c r="F6" s="4" t="s">
        <v>73</v>
      </c>
      <c r="G6" s="5" t="s">
        <v>74</v>
      </c>
      <c r="H6" s="4" t="str">
        <f>"00a166"</f>
        <v>00a166</v>
      </c>
      <c r="I6" s="3">
        <v>42910</v>
      </c>
      <c r="J6" s="4" t="str">
        <f>"000031"</f>
        <v>000031</v>
      </c>
      <c r="K6" s="3">
        <v>43159</v>
      </c>
      <c r="L6" s="4" t="str">
        <f>"000109"</f>
        <v>000109</v>
      </c>
      <c r="M6" s="3">
        <v>43159</v>
      </c>
      <c r="N6" s="4">
        <v>17</v>
      </c>
      <c r="O6" s="4" t="str">
        <f>"001111"</f>
        <v>001111</v>
      </c>
      <c r="P6" s="3">
        <v>43227</v>
      </c>
      <c r="Q6" s="6">
        <v>19.97</v>
      </c>
      <c r="R6" s="6">
        <v>2.4671500000000002</v>
      </c>
      <c r="S6" s="6">
        <v>17.502849999999999</v>
      </c>
      <c r="T6" s="4">
        <v>43</v>
      </c>
      <c r="U6" s="3">
        <v>43229</v>
      </c>
      <c r="V6" s="4">
        <v>9900294676</v>
      </c>
      <c r="W6" s="5" t="s">
        <v>41</v>
      </c>
      <c r="X6" s="4" t="s">
        <v>50</v>
      </c>
      <c r="Y6" s="5" t="s">
        <v>51</v>
      </c>
      <c r="Z6" s="4" t="s">
        <v>64</v>
      </c>
      <c r="AA6" s="5" t="s">
        <v>65</v>
      </c>
      <c r="AB6" s="6">
        <v>0.19969999999999999</v>
      </c>
      <c r="AD6" s="7"/>
      <c r="AF6" s="7"/>
      <c r="AG6" s="7"/>
    </row>
    <row r="7" spans="1:33" x14ac:dyDescent="0.2">
      <c r="A7" s="11">
        <v>1031</v>
      </c>
      <c r="B7" s="12" t="s">
        <v>35</v>
      </c>
      <c r="C7" s="12">
        <v>43229</v>
      </c>
      <c r="D7" s="4">
        <v>191</v>
      </c>
      <c r="E7" s="5" t="s">
        <v>58</v>
      </c>
      <c r="F7" s="4" t="s">
        <v>75</v>
      </c>
      <c r="G7" s="5" t="s">
        <v>76</v>
      </c>
      <c r="H7" s="4" t="str">
        <f>"000a46"</f>
        <v>000a46</v>
      </c>
      <c r="I7" s="3">
        <v>42845</v>
      </c>
      <c r="J7" s="4" t="str">
        <f>"000021"</f>
        <v>000021</v>
      </c>
      <c r="K7" s="3">
        <v>43127</v>
      </c>
      <c r="L7" s="4" t="str">
        <f>"000073"</f>
        <v>000073</v>
      </c>
      <c r="M7" s="3">
        <v>43153</v>
      </c>
      <c r="N7" s="4">
        <v>17</v>
      </c>
      <c r="O7" s="4" t="str">
        <f>"001131"</f>
        <v>001131</v>
      </c>
      <c r="P7" s="3">
        <v>43227</v>
      </c>
      <c r="Q7" s="6">
        <v>49.882449999999999</v>
      </c>
      <c r="R7" s="6">
        <v>6.2868000000000004</v>
      </c>
      <c r="S7" s="6">
        <v>43.595649999999999</v>
      </c>
      <c r="T7" s="4">
        <v>43</v>
      </c>
      <c r="U7" s="3">
        <v>43229</v>
      </c>
      <c r="V7" s="4">
        <v>9845154892</v>
      </c>
      <c r="W7" s="5" t="s">
        <v>41</v>
      </c>
      <c r="X7" s="4" t="s">
        <v>50</v>
      </c>
      <c r="Y7" s="5" t="s">
        <v>51</v>
      </c>
      <c r="Z7" s="4" t="s">
        <v>64</v>
      </c>
      <c r="AA7" s="5" t="s">
        <v>65</v>
      </c>
      <c r="AB7" s="6">
        <v>0.4988245</v>
      </c>
      <c r="AD7" s="7"/>
      <c r="AF7" s="7"/>
      <c r="AG7" s="7"/>
    </row>
    <row r="8" spans="1:33" x14ac:dyDescent="0.2">
      <c r="A8" s="11">
        <v>1032</v>
      </c>
      <c r="B8" s="12" t="s">
        <v>35</v>
      </c>
      <c r="C8" s="12">
        <v>43229</v>
      </c>
      <c r="D8" s="4">
        <v>191</v>
      </c>
      <c r="E8" s="5" t="s">
        <v>58</v>
      </c>
      <c r="F8" s="4" t="s">
        <v>77</v>
      </c>
      <c r="G8" s="5" t="s">
        <v>78</v>
      </c>
      <c r="H8" s="4" t="str">
        <f>"00a161"</f>
        <v>00a161</v>
      </c>
      <c r="I8" s="3">
        <v>42910</v>
      </c>
      <c r="J8" s="4" t="str">
        <f>"000020"</f>
        <v>000020</v>
      </c>
      <c r="K8" s="3">
        <v>43127</v>
      </c>
      <c r="L8" s="4" t="str">
        <f>"000041"</f>
        <v>000041</v>
      </c>
      <c r="M8" s="3">
        <v>43130</v>
      </c>
      <c r="N8" s="4">
        <v>17</v>
      </c>
      <c r="O8" s="4" t="str">
        <f>"001199"</f>
        <v>001199</v>
      </c>
      <c r="P8" s="3">
        <v>43228</v>
      </c>
      <c r="Q8" s="6">
        <v>29.9176</v>
      </c>
      <c r="R8" s="6">
        <v>3.2149000000000001</v>
      </c>
      <c r="S8" s="6">
        <v>26.7027</v>
      </c>
      <c r="T8" s="4">
        <v>43</v>
      </c>
      <c r="U8" s="3">
        <v>43229</v>
      </c>
      <c r="V8" s="4">
        <v>9900294676</v>
      </c>
      <c r="W8" s="5" t="s">
        <v>41</v>
      </c>
      <c r="X8" s="4" t="s">
        <v>50</v>
      </c>
      <c r="Y8" s="5" t="s">
        <v>51</v>
      </c>
      <c r="Z8" s="4" t="s">
        <v>64</v>
      </c>
      <c r="AA8" s="5" t="s">
        <v>65</v>
      </c>
      <c r="AB8" s="6">
        <v>0.299176</v>
      </c>
      <c r="AD8" s="7"/>
      <c r="AF8" s="7"/>
      <c r="AG8" s="7"/>
    </row>
    <row r="9" spans="1:33" x14ac:dyDescent="0.2">
      <c r="A9" s="11">
        <v>1033</v>
      </c>
      <c r="B9" s="12" t="s">
        <v>35</v>
      </c>
      <c r="C9" s="12">
        <v>43229</v>
      </c>
      <c r="D9" s="4">
        <v>191</v>
      </c>
      <c r="E9" s="5" t="s">
        <v>58</v>
      </c>
      <c r="F9" s="4" t="s">
        <v>79</v>
      </c>
      <c r="G9" s="5" t="s">
        <v>80</v>
      </c>
      <c r="H9" s="4" t="str">
        <f>"000a49"</f>
        <v>000a49</v>
      </c>
      <c r="I9" s="3">
        <v>42845</v>
      </c>
      <c r="J9" s="4" t="str">
        <f>"000040"</f>
        <v>000040</v>
      </c>
      <c r="K9" s="3">
        <v>43185</v>
      </c>
      <c r="L9" s="4" t="str">
        <f>"000181"</f>
        <v>000181</v>
      </c>
      <c r="M9" s="3">
        <v>43190</v>
      </c>
      <c r="N9" s="4">
        <v>17</v>
      </c>
      <c r="O9" s="4" t="str">
        <f>"001263"</f>
        <v>001263</v>
      </c>
      <c r="P9" s="3">
        <v>43228</v>
      </c>
      <c r="Q9" s="6">
        <v>49.95</v>
      </c>
      <c r="R9" s="6">
        <v>6.2575000000000003</v>
      </c>
      <c r="S9" s="6">
        <v>43.692500000000003</v>
      </c>
      <c r="T9" s="4">
        <v>47</v>
      </c>
      <c r="U9" s="3">
        <v>43229</v>
      </c>
      <c r="V9" s="4">
        <v>9845154892</v>
      </c>
      <c r="W9" s="5" t="s">
        <v>41</v>
      </c>
      <c r="X9" s="4" t="s">
        <v>50</v>
      </c>
      <c r="Y9" s="5" t="s">
        <v>51</v>
      </c>
      <c r="Z9" s="4" t="s">
        <v>64</v>
      </c>
      <c r="AA9" s="5" t="s">
        <v>65</v>
      </c>
      <c r="AB9" s="6">
        <v>0.49950000000000006</v>
      </c>
      <c r="AD9" s="7"/>
      <c r="AF9" s="7"/>
      <c r="AG9" s="7"/>
    </row>
    <row r="10" spans="1:33" x14ac:dyDescent="0.2">
      <c r="A10" s="11">
        <v>1034</v>
      </c>
      <c r="B10" s="12" t="s">
        <v>35</v>
      </c>
      <c r="C10" s="12">
        <v>43229</v>
      </c>
      <c r="D10" s="4">
        <v>191</v>
      </c>
      <c r="E10" s="5" t="s">
        <v>58</v>
      </c>
      <c r="F10" s="4" t="s">
        <v>81</v>
      </c>
      <c r="G10" s="5" t="s">
        <v>82</v>
      </c>
      <c r="H10" s="4" t="str">
        <f>"000a48"</f>
        <v>000a48</v>
      </c>
      <c r="I10" s="3">
        <v>42845</v>
      </c>
      <c r="J10" s="4" t="str">
        <f>"000041"</f>
        <v>000041</v>
      </c>
      <c r="K10" s="3">
        <v>43185</v>
      </c>
      <c r="L10" s="4" t="str">
        <f>"000182"</f>
        <v>000182</v>
      </c>
      <c r="M10" s="3">
        <v>43190</v>
      </c>
      <c r="N10" s="4">
        <v>17</v>
      </c>
      <c r="O10" s="4" t="str">
        <f>"001264"</f>
        <v>001264</v>
      </c>
      <c r="P10" s="3">
        <v>43228</v>
      </c>
      <c r="Q10" s="6">
        <v>49.959000000000003</v>
      </c>
      <c r="R10" s="6">
        <v>6.2611499999999998</v>
      </c>
      <c r="S10" s="6">
        <v>43.697850000000003</v>
      </c>
      <c r="T10" s="4">
        <v>47</v>
      </c>
      <c r="U10" s="3">
        <v>43229</v>
      </c>
      <c r="V10" s="4">
        <v>9845154892</v>
      </c>
      <c r="W10" s="5" t="s">
        <v>41</v>
      </c>
      <c r="X10" s="4" t="s">
        <v>50</v>
      </c>
      <c r="Y10" s="5" t="s">
        <v>51</v>
      </c>
      <c r="Z10" s="4" t="s">
        <v>64</v>
      </c>
      <c r="AA10" s="5" t="s">
        <v>65</v>
      </c>
      <c r="AB10" s="6">
        <v>0.49959000000000003</v>
      </c>
      <c r="AD10" s="7"/>
      <c r="AF10" s="7"/>
      <c r="AG10" s="7"/>
    </row>
    <row r="11" spans="1:33" x14ac:dyDescent="0.2">
      <c r="A11" s="11">
        <v>1376</v>
      </c>
      <c r="B11" s="12" t="s">
        <v>35</v>
      </c>
      <c r="C11" s="12">
        <v>43241</v>
      </c>
      <c r="D11" s="4">
        <v>191</v>
      </c>
      <c r="E11" s="5" t="s">
        <v>58</v>
      </c>
      <c r="F11" s="4" t="s">
        <v>83</v>
      </c>
      <c r="G11" s="5" t="s">
        <v>84</v>
      </c>
      <c r="H11" s="4" t="str">
        <f>"000356"</f>
        <v>000356</v>
      </c>
      <c r="I11" s="3">
        <v>43143</v>
      </c>
      <c r="J11" s="4" t="str">
        <f>"000050"</f>
        <v>000050</v>
      </c>
      <c r="K11" s="3">
        <v>43190</v>
      </c>
      <c r="L11" s="4" t="str">
        <f>"000203"</f>
        <v>000203</v>
      </c>
      <c r="M11" s="3">
        <v>43190</v>
      </c>
      <c r="N11" s="4">
        <v>17</v>
      </c>
      <c r="O11" s="4" t="str">
        <f>"001374"</f>
        <v>001374</v>
      </c>
      <c r="P11" s="3">
        <v>43235</v>
      </c>
      <c r="Q11" s="6">
        <v>15.423</v>
      </c>
      <c r="R11" s="6">
        <v>0.57720000000000005</v>
      </c>
      <c r="S11" s="6">
        <v>14.845800000000001</v>
      </c>
      <c r="T11" s="4">
        <v>55</v>
      </c>
      <c r="U11" s="3">
        <v>43241</v>
      </c>
      <c r="V11" s="4">
        <v>9845222227</v>
      </c>
      <c r="W11" s="5" t="s">
        <v>56</v>
      </c>
      <c r="X11" s="4" t="s">
        <v>45</v>
      </c>
      <c r="Y11" s="5" t="s">
        <v>46</v>
      </c>
      <c r="Z11" s="4" t="s">
        <v>64</v>
      </c>
      <c r="AA11" s="5" t="s">
        <v>65</v>
      </c>
      <c r="AB11" s="6">
        <v>0.15423000000000001</v>
      </c>
      <c r="AD11" s="7"/>
      <c r="AF11" s="7"/>
      <c r="AG11" s="7"/>
    </row>
    <row r="12" spans="1:33" x14ac:dyDescent="0.2">
      <c r="A12" s="11">
        <v>1377</v>
      </c>
      <c r="B12" s="12" t="s">
        <v>35</v>
      </c>
      <c r="C12" s="12">
        <v>43241</v>
      </c>
      <c r="D12" s="4">
        <v>191</v>
      </c>
      <c r="E12" s="5" t="s">
        <v>58</v>
      </c>
      <c r="F12" s="4" t="s">
        <v>85</v>
      </c>
      <c r="G12" s="5" t="s">
        <v>86</v>
      </c>
      <c r="H12" s="4" t="str">
        <f>"000353"</f>
        <v>000353</v>
      </c>
      <c r="I12" s="3">
        <v>43143</v>
      </c>
      <c r="J12" s="4" t="str">
        <f>"000052"</f>
        <v>000052</v>
      </c>
      <c r="K12" s="3">
        <v>43190</v>
      </c>
      <c r="L12" s="4" t="str">
        <f>"000200"</f>
        <v>000200</v>
      </c>
      <c r="M12" s="3">
        <v>43190</v>
      </c>
      <c r="N12" s="4">
        <v>17</v>
      </c>
      <c r="O12" s="4" t="str">
        <f>"001375"</f>
        <v>001375</v>
      </c>
      <c r="P12" s="3">
        <v>43235</v>
      </c>
      <c r="Q12" s="6">
        <v>26.112400000000001</v>
      </c>
      <c r="R12" s="6">
        <v>0.97430000000000005</v>
      </c>
      <c r="S12" s="6">
        <v>25.138100000000001</v>
      </c>
      <c r="T12" s="4">
        <v>55</v>
      </c>
      <c r="U12" s="3">
        <v>43241</v>
      </c>
      <c r="V12" s="4">
        <v>9845222227</v>
      </c>
      <c r="W12" s="5" t="s">
        <v>56</v>
      </c>
      <c r="X12" s="4" t="s">
        <v>45</v>
      </c>
      <c r="Y12" s="5" t="s">
        <v>46</v>
      </c>
      <c r="Z12" s="4" t="s">
        <v>64</v>
      </c>
      <c r="AA12" s="5" t="s">
        <v>65</v>
      </c>
      <c r="AB12" s="6">
        <v>0.26112400000000002</v>
      </c>
      <c r="AD12" s="7"/>
      <c r="AF12" s="7"/>
      <c r="AG12" s="7"/>
    </row>
    <row r="13" spans="1:33" x14ac:dyDescent="0.2">
      <c r="A13" s="11">
        <v>1378</v>
      </c>
      <c r="B13" s="12" t="s">
        <v>35</v>
      </c>
      <c r="C13" s="12">
        <v>43241</v>
      </c>
      <c r="D13" s="4">
        <v>191</v>
      </c>
      <c r="E13" s="5" t="s">
        <v>58</v>
      </c>
      <c r="F13" s="4" t="s">
        <v>87</v>
      </c>
      <c r="G13" s="5" t="s">
        <v>88</v>
      </c>
      <c r="H13" s="4" t="str">
        <f>"000355"</f>
        <v>000355</v>
      </c>
      <c r="I13" s="3">
        <v>43143</v>
      </c>
      <c r="J13" s="4" t="str">
        <f>"000051"</f>
        <v>000051</v>
      </c>
      <c r="K13" s="3">
        <v>43190</v>
      </c>
      <c r="L13" s="4" t="str">
        <f>"000202"</f>
        <v>000202</v>
      </c>
      <c r="M13" s="3">
        <v>43190</v>
      </c>
      <c r="N13" s="4">
        <v>17</v>
      </c>
      <c r="O13" s="4" t="str">
        <f>"001376"</f>
        <v>001376</v>
      </c>
      <c r="P13" s="3">
        <v>43235</v>
      </c>
      <c r="Q13" s="6">
        <v>22.548300000000001</v>
      </c>
      <c r="R13" s="6">
        <v>0.86209999999999998</v>
      </c>
      <c r="S13" s="6">
        <v>21.686199999999999</v>
      </c>
      <c r="T13" s="4">
        <v>55</v>
      </c>
      <c r="U13" s="3">
        <v>43241</v>
      </c>
      <c r="V13" s="4">
        <v>9845222227</v>
      </c>
      <c r="W13" s="5" t="s">
        <v>56</v>
      </c>
      <c r="X13" s="4" t="s">
        <v>45</v>
      </c>
      <c r="Y13" s="5" t="s">
        <v>46</v>
      </c>
      <c r="Z13" s="4" t="s">
        <v>64</v>
      </c>
      <c r="AA13" s="5" t="s">
        <v>65</v>
      </c>
      <c r="AB13" s="6">
        <v>0.22548300000000002</v>
      </c>
      <c r="AD13" s="7"/>
      <c r="AF13" s="7"/>
      <c r="AG13" s="7"/>
    </row>
    <row r="14" spans="1:33" x14ac:dyDescent="0.2">
      <c r="A14" s="11">
        <v>1379</v>
      </c>
      <c r="B14" s="12" t="s">
        <v>35</v>
      </c>
      <c r="C14" s="12">
        <v>43241</v>
      </c>
      <c r="D14" s="4">
        <v>191</v>
      </c>
      <c r="E14" s="5" t="s">
        <v>58</v>
      </c>
      <c r="F14" s="4" t="s">
        <v>89</v>
      </c>
      <c r="G14" s="5" t="s">
        <v>90</v>
      </c>
      <c r="H14" s="4" t="str">
        <f>"000354"</f>
        <v>000354</v>
      </c>
      <c r="I14" s="3">
        <v>43143</v>
      </c>
      <c r="J14" s="4" t="str">
        <f>"000049"</f>
        <v>000049</v>
      </c>
      <c r="K14" s="3">
        <v>43190</v>
      </c>
      <c r="L14" s="4" t="str">
        <f>"000201"</f>
        <v>000201</v>
      </c>
      <c r="M14" s="3">
        <v>43190</v>
      </c>
      <c r="N14" s="4">
        <v>17</v>
      </c>
      <c r="O14" s="4" t="str">
        <f>"001565"</f>
        <v>001565</v>
      </c>
      <c r="P14" s="3">
        <v>43238</v>
      </c>
      <c r="Q14" s="6">
        <v>34.001600000000003</v>
      </c>
      <c r="R14" s="6">
        <v>1.27</v>
      </c>
      <c r="S14" s="6">
        <v>32.7316</v>
      </c>
      <c r="T14" s="4">
        <v>55</v>
      </c>
      <c r="U14" s="3">
        <v>43241</v>
      </c>
      <c r="V14" s="4">
        <v>9845222227</v>
      </c>
      <c r="W14" s="5" t="s">
        <v>56</v>
      </c>
      <c r="X14" s="4" t="s">
        <v>45</v>
      </c>
      <c r="Y14" s="5" t="s">
        <v>46</v>
      </c>
      <c r="Z14" s="4" t="s">
        <v>64</v>
      </c>
      <c r="AA14" s="5" t="s">
        <v>65</v>
      </c>
      <c r="AB14" s="6">
        <v>0.34001600000000004</v>
      </c>
      <c r="AD14" s="7"/>
      <c r="AF14" s="7"/>
      <c r="AG14" s="7"/>
    </row>
    <row r="15" spans="1:33" x14ac:dyDescent="0.2">
      <c r="A15" s="11">
        <v>1464</v>
      </c>
      <c r="B15" s="12" t="s">
        <v>35</v>
      </c>
      <c r="C15" s="12">
        <v>43242</v>
      </c>
      <c r="D15" s="4">
        <v>191</v>
      </c>
      <c r="E15" s="5" t="s">
        <v>58</v>
      </c>
      <c r="F15" s="4" t="s">
        <v>91</v>
      </c>
      <c r="G15" s="5" t="s">
        <v>92</v>
      </c>
      <c r="H15" s="4" t="str">
        <f>"000206"</f>
        <v>000206</v>
      </c>
      <c r="I15" s="3">
        <v>42405</v>
      </c>
      <c r="J15" s="4" t="str">
        <f>"000130"</f>
        <v>000130</v>
      </c>
      <c r="K15" s="3">
        <v>42781</v>
      </c>
      <c r="L15" s="4" t="str">
        <f>"000264"</f>
        <v>000264</v>
      </c>
      <c r="M15" s="3">
        <v>42794</v>
      </c>
      <c r="N15" s="4">
        <v>16</v>
      </c>
      <c r="O15" s="4" t="str">
        <f>"001520"</f>
        <v>001520</v>
      </c>
      <c r="P15" s="3">
        <v>43238</v>
      </c>
      <c r="Q15" s="6">
        <v>14.892300000000001</v>
      </c>
      <c r="R15" s="6">
        <v>2.0600999999999998</v>
      </c>
      <c r="S15" s="6">
        <v>12.8322</v>
      </c>
      <c r="T15" s="4">
        <v>59</v>
      </c>
      <c r="U15" s="3">
        <v>43242</v>
      </c>
      <c r="V15" s="4">
        <v>9141667771</v>
      </c>
      <c r="W15" s="5" t="s">
        <v>93</v>
      </c>
      <c r="X15" s="4" t="s">
        <v>30</v>
      </c>
      <c r="Y15" s="5" t="s">
        <v>31</v>
      </c>
      <c r="Z15" s="4" t="s">
        <v>64</v>
      </c>
      <c r="AA15" s="5" t="s">
        <v>65</v>
      </c>
      <c r="AB15" s="6">
        <v>0.148923</v>
      </c>
      <c r="AD15" s="7"/>
      <c r="AF15" s="7"/>
      <c r="AG15" s="7"/>
    </row>
    <row r="16" spans="1:33" x14ac:dyDescent="0.2">
      <c r="A16" s="11">
        <v>1699</v>
      </c>
      <c r="B16" s="12" t="s">
        <v>44</v>
      </c>
      <c r="C16" s="12">
        <v>43252</v>
      </c>
      <c r="D16" s="4">
        <v>191</v>
      </c>
      <c r="E16" s="5" t="s">
        <v>58</v>
      </c>
      <c r="F16" s="4" t="s">
        <v>94</v>
      </c>
      <c r="G16" s="5" t="s">
        <v>95</v>
      </c>
      <c r="H16" s="4" t="str">
        <f>"000215"</f>
        <v>000215</v>
      </c>
      <c r="I16" s="3">
        <v>42409</v>
      </c>
      <c r="J16" s="4" t="str">
        <f>"000018"</f>
        <v>000018</v>
      </c>
      <c r="K16" s="3">
        <v>42875</v>
      </c>
      <c r="L16" s="4" t="str">
        <f>"000051"</f>
        <v>000051</v>
      </c>
      <c r="M16" s="3">
        <v>42886</v>
      </c>
      <c r="N16" s="4">
        <v>16</v>
      </c>
      <c r="O16" s="4" t="str">
        <f>"001916"</f>
        <v>001916</v>
      </c>
      <c r="P16" s="3">
        <v>43246</v>
      </c>
      <c r="Q16" s="6">
        <v>7.43</v>
      </c>
      <c r="R16" s="6">
        <v>0.86750000000000005</v>
      </c>
      <c r="S16" s="6">
        <v>6.5625</v>
      </c>
      <c r="T16" s="4">
        <v>64</v>
      </c>
      <c r="U16" s="3">
        <v>43252</v>
      </c>
      <c r="V16" s="4">
        <v>9741841639</v>
      </c>
      <c r="W16" s="5" t="s">
        <v>96</v>
      </c>
      <c r="X16" s="4" t="s">
        <v>43</v>
      </c>
      <c r="Y16" s="5" t="s">
        <v>42</v>
      </c>
      <c r="Z16" s="4" t="s">
        <v>64</v>
      </c>
      <c r="AA16" s="5" t="s">
        <v>65</v>
      </c>
      <c r="AB16" s="6">
        <v>7.4299999999999991E-2</v>
      </c>
      <c r="AD16" s="7"/>
      <c r="AF16" s="7"/>
      <c r="AG16" s="7"/>
    </row>
    <row r="17" spans="1:33" x14ac:dyDescent="0.2">
      <c r="A17" s="11">
        <v>1700</v>
      </c>
      <c r="B17" s="12" t="s">
        <v>44</v>
      </c>
      <c r="C17" s="12">
        <v>43252</v>
      </c>
      <c r="D17" s="4">
        <v>191</v>
      </c>
      <c r="E17" s="5" t="s">
        <v>58</v>
      </c>
      <c r="F17" s="4" t="s">
        <v>97</v>
      </c>
      <c r="G17" s="5" t="s">
        <v>98</v>
      </c>
      <c r="H17" s="4" t="str">
        <f>"000201"</f>
        <v>000201</v>
      </c>
      <c r="I17" s="3">
        <v>42037</v>
      </c>
      <c r="J17" s="4" t="str">
        <f>"000014"</f>
        <v>000014</v>
      </c>
      <c r="K17" s="3">
        <v>42875</v>
      </c>
      <c r="L17" s="4" t="str">
        <f>"000054"</f>
        <v>000054</v>
      </c>
      <c r="M17" s="3">
        <v>42886</v>
      </c>
      <c r="N17" s="4">
        <v>15</v>
      </c>
      <c r="O17" s="4" t="str">
        <f>"001917"</f>
        <v>001917</v>
      </c>
      <c r="P17" s="3">
        <v>43246</v>
      </c>
      <c r="Q17" s="6">
        <v>10.42</v>
      </c>
      <c r="R17" s="6">
        <v>1.3425</v>
      </c>
      <c r="S17" s="6">
        <v>9.0775000000000006</v>
      </c>
      <c r="T17" s="4">
        <v>64</v>
      </c>
      <c r="U17" s="3">
        <v>43252</v>
      </c>
      <c r="V17" s="4">
        <v>9036718749</v>
      </c>
      <c r="W17" s="5" t="s">
        <v>99</v>
      </c>
      <c r="X17" s="4" t="s">
        <v>30</v>
      </c>
      <c r="Y17" s="5" t="s">
        <v>31</v>
      </c>
      <c r="Z17" s="4" t="s">
        <v>64</v>
      </c>
      <c r="AA17" s="5" t="s">
        <v>65</v>
      </c>
      <c r="AB17" s="6">
        <v>0.1042</v>
      </c>
      <c r="AD17" s="7"/>
      <c r="AF17" s="7"/>
      <c r="AG17" s="7"/>
    </row>
    <row r="18" spans="1:33" x14ac:dyDescent="0.2">
      <c r="A18" s="11">
        <v>1701</v>
      </c>
      <c r="B18" s="12" t="s">
        <v>44</v>
      </c>
      <c r="C18" s="12">
        <v>43252</v>
      </c>
      <c r="D18" s="4">
        <v>191</v>
      </c>
      <c r="E18" s="5" t="s">
        <v>58</v>
      </c>
      <c r="F18" s="4" t="s">
        <v>100</v>
      </c>
      <c r="G18" s="5" t="s">
        <v>101</v>
      </c>
      <c r="H18" s="4" t="str">
        <f>"00a154"</f>
        <v>00a154</v>
      </c>
      <c r="I18" s="3">
        <v>42910</v>
      </c>
      <c r="J18" s="4" t="str">
        <f>"000014"</f>
        <v>000014</v>
      </c>
      <c r="K18" s="3">
        <v>43103</v>
      </c>
      <c r="L18" s="4" t="str">
        <f>"000029"</f>
        <v>000029</v>
      </c>
      <c r="M18" s="3">
        <v>43110</v>
      </c>
      <c r="N18" s="4">
        <v>17</v>
      </c>
      <c r="O18" s="4" t="str">
        <f>"001785"</f>
        <v>001785</v>
      </c>
      <c r="P18" s="3">
        <v>43243</v>
      </c>
      <c r="Q18" s="6">
        <v>99.93</v>
      </c>
      <c r="R18" s="6">
        <v>49.93</v>
      </c>
      <c r="S18" s="6">
        <v>50</v>
      </c>
      <c r="T18" s="4">
        <v>66</v>
      </c>
      <c r="U18" s="3">
        <v>43252</v>
      </c>
      <c r="V18" s="4">
        <v>9900294676</v>
      </c>
      <c r="W18" s="5" t="s">
        <v>41</v>
      </c>
      <c r="X18" s="4" t="s">
        <v>50</v>
      </c>
      <c r="Y18" s="5" t="s">
        <v>51</v>
      </c>
      <c r="Z18" s="4" t="s">
        <v>64</v>
      </c>
      <c r="AA18" s="5" t="s">
        <v>65</v>
      </c>
      <c r="AB18" s="6">
        <v>0.99930000000000008</v>
      </c>
      <c r="AD18" s="7"/>
      <c r="AF18" s="7"/>
      <c r="AG18" s="7"/>
    </row>
    <row r="19" spans="1:33" x14ac:dyDescent="0.2">
      <c r="A19" s="11">
        <v>1928</v>
      </c>
      <c r="B19" s="12" t="s">
        <v>44</v>
      </c>
      <c r="C19" s="12">
        <v>43257</v>
      </c>
      <c r="D19" s="4">
        <v>191</v>
      </c>
      <c r="E19" s="5" t="s">
        <v>58</v>
      </c>
      <c r="F19" s="4" t="s">
        <v>102</v>
      </c>
      <c r="G19" s="5" t="s">
        <v>103</v>
      </c>
      <c r="H19" s="4" t="str">
        <f>"000153"</f>
        <v>000153</v>
      </c>
      <c r="I19" s="3">
        <v>43081</v>
      </c>
      <c r="J19" s="4" t="str">
        <f>"000042"</f>
        <v>000042</v>
      </c>
      <c r="K19" s="3">
        <v>43190</v>
      </c>
      <c r="L19" s="4" t="str">
        <f>"000195"</f>
        <v>000195</v>
      </c>
      <c r="M19" s="3">
        <v>43190</v>
      </c>
      <c r="N19" s="4">
        <v>18</v>
      </c>
      <c r="O19" s="4" t="str">
        <f>"001774"</f>
        <v>001774</v>
      </c>
      <c r="P19" s="3">
        <v>43243</v>
      </c>
      <c r="Q19" s="6">
        <v>17.989999999999998</v>
      </c>
      <c r="R19" s="6">
        <v>2.2574999999999998</v>
      </c>
      <c r="S19" s="6">
        <v>15.7325</v>
      </c>
      <c r="T19" s="4">
        <v>73</v>
      </c>
      <c r="U19" s="3">
        <v>43257</v>
      </c>
      <c r="V19" s="4">
        <v>9900294676</v>
      </c>
      <c r="W19" s="5" t="s">
        <v>47</v>
      </c>
      <c r="X19" s="4" t="s">
        <v>36</v>
      </c>
      <c r="Y19" s="5" t="s">
        <v>37</v>
      </c>
      <c r="Z19" s="4" t="s">
        <v>64</v>
      </c>
      <c r="AA19" s="5" t="s">
        <v>65</v>
      </c>
      <c r="AB19" s="6">
        <v>0.17989999999999998</v>
      </c>
      <c r="AD19" s="7"/>
      <c r="AF19" s="7"/>
      <c r="AG19" s="7"/>
    </row>
    <row r="20" spans="1:33" x14ac:dyDescent="0.2">
      <c r="A20" s="11">
        <v>1929</v>
      </c>
      <c r="B20" s="12" t="s">
        <v>44</v>
      </c>
      <c r="C20" s="12">
        <v>43257</v>
      </c>
      <c r="D20" s="4">
        <v>191</v>
      </c>
      <c r="E20" s="5" t="s">
        <v>58</v>
      </c>
      <c r="F20" s="4" t="s">
        <v>104</v>
      </c>
      <c r="G20" s="5" t="s">
        <v>105</v>
      </c>
      <c r="H20" s="4" t="str">
        <f>"000162"</f>
        <v>000162</v>
      </c>
      <c r="I20" s="3">
        <v>43085</v>
      </c>
      <c r="J20" s="4" t="str">
        <f>"000043"</f>
        <v>000043</v>
      </c>
      <c r="K20" s="3">
        <v>43190</v>
      </c>
      <c r="L20" s="4" t="str">
        <f>"000194"</f>
        <v>000194</v>
      </c>
      <c r="M20" s="3">
        <v>43190</v>
      </c>
      <c r="N20" s="4">
        <v>18</v>
      </c>
      <c r="O20" s="4" t="str">
        <f>"001778"</f>
        <v>001778</v>
      </c>
      <c r="P20" s="3">
        <v>43243</v>
      </c>
      <c r="Q20" s="6">
        <v>39.97</v>
      </c>
      <c r="R20" s="6">
        <v>5.0174000000000003</v>
      </c>
      <c r="S20" s="6">
        <v>34.952599999999997</v>
      </c>
      <c r="T20" s="4">
        <v>73</v>
      </c>
      <c r="U20" s="3">
        <v>43257</v>
      </c>
      <c r="V20" s="4">
        <v>9900294676</v>
      </c>
      <c r="W20" s="5" t="s">
        <v>47</v>
      </c>
      <c r="X20" s="4" t="s">
        <v>36</v>
      </c>
      <c r="Y20" s="5" t="s">
        <v>37</v>
      </c>
      <c r="Z20" s="4" t="s">
        <v>64</v>
      </c>
      <c r="AA20" s="5" t="s">
        <v>65</v>
      </c>
      <c r="AB20" s="6">
        <v>0.3997</v>
      </c>
      <c r="AD20" s="7"/>
      <c r="AF20" s="7"/>
      <c r="AG20" s="7"/>
    </row>
    <row r="21" spans="1:33" x14ac:dyDescent="0.2">
      <c r="A21" s="11">
        <v>1930</v>
      </c>
      <c r="B21" s="12" t="s">
        <v>44</v>
      </c>
      <c r="C21" s="12">
        <v>43257</v>
      </c>
      <c r="D21" s="4">
        <v>191</v>
      </c>
      <c r="E21" s="5" t="s">
        <v>58</v>
      </c>
      <c r="F21" s="4" t="s">
        <v>106</v>
      </c>
      <c r="G21" s="5" t="s">
        <v>107</v>
      </c>
      <c r="H21" s="4" t="str">
        <f>"000238"</f>
        <v>000238</v>
      </c>
      <c r="I21" s="3">
        <v>43131</v>
      </c>
      <c r="J21" s="4" t="str">
        <f>"000048"</f>
        <v>000048</v>
      </c>
      <c r="K21" s="3">
        <v>43190</v>
      </c>
      <c r="L21" s="4" t="str">
        <f>"000196"</f>
        <v>000196</v>
      </c>
      <c r="M21" s="3">
        <v>43190</v>
      </c>
      <c r="N21" s="4">
        <v>18</v>
      </c>
      <c r="O21" s="4" t="str">
        <f>"001779"</f>
        <v>001779</v>
      </c>
      <c r="P21" s="3">
        <v>43243</v>
      </c>
      <c r="Q21" s="6">
        <v>29.986000000000001</v>
      </c>
      <c r="R21" s="6">
        <v>3.7587999999999999</v>
      </c>
      <c r="S21" s="6">
        <v>26.2272</v>
      </c>
      <c r="T21" s="4">
        <v>73</v>
      </c>
      <c r="U21" s="3">
        <v>43257</v>
      </c>
      <c r="V21" s="4">
        <v>9900294676</v>
      </c>
      <c r="W21" s="5" t="s">
        <v>47</v>
      </c>
      <c r="X21" s="4" t="s">
        <v>36</v>
      </c>
      <c r="Y21" s="5" t="s">
        <v>37</v>
      </c>
      <c r="Z21" s="4" t="s">
        <v>64</v>
      </c>
      <c r="AA21" s="5" t="s">
        <v>65</v>
      </c>
      <c r="AB21" s="6">
        <v>0.29986000000000002</v>
      </c>
      <c r="AD21" s="7"/>
      <c r="AF21" s="7"/>
      <c r="AG21" s="7"/>
    </row>
    <row r="22" spans="1:33" x14ac:dyDescent="0.2">
      <c r="A22" s="11">
        <v>1931</v>
      </c>
      <c r="B22" s="12" t="s">
        <v>44</v>
      </c>
      <c r="C22" s="12">
        <v>43257</v>
      </c>
      <c r="D22" s="4">
        <v>191</v>
      </c>
      <c r="E22" s="5" t="s">
        <v>58</v>
      </c>
      <c r="F22" s="4" t="s">
        <v>108</v>
      </c>
      <c r="G22" s="5" t="s">
        <v>109</v>
      </c>
      <c r="H22" s="4" t="str">
        <f>"000149"</f>
        <v>000149</v>
      </c>
      <c r="I22" s="3">
        <v>43081</v>
      </c>
      <c r="J22" s="4" t="str">
        <f>"000013"</f>
        <v>000013</v>
      </c>
      <c r="K22" s="3">
        <v>43215</v>
      </c>
      <c r="L22" s="4" t="str">
        <f>"000031"</f>
        <v>000031</v>
      </c>
      <c r="M22" s="3">
        <v>43220</v>
      </c>
      <c r="N22" s="4">
        <v>18</v>
      </c>
      <c r="O22" s="4" t="str">
        <f>"001780"</f>
        <v>001780</v>
      </c>
      <c r="P22" s="3">
        <v>43243</v>
      </c>
      <c r="Q22" s="6">
        <v>19.949000000000002</v>
      </c>
      <c r="R22" s="6">
        <v>2.496</v>
      </c>
      <c r="S22" s="6">
        <v>17.452999999999999</v>
      </c>
      <c r="T22" s="4">
        <v>73</v>
      </c>
      <c r="U22" s="3">
        <v>43257</v>
      </c>
      <c r="V22" s="4">
        <v>9900294676</v>
      </c>
      <c r="W22" s="5" t="s">
        <v>47</v>
      </c>
      <c r="X22" s="4" t="s">
        <v>36</v>
      </c>
      <c r="Y22" s="5" t="s">
        <v>37</v>
      </c>
      <c r="Z22" s="4" t="s">
        <v>64</v>
      </c>
      <c r="AA22" s="5" t="s">
        <v>65</v>
      </c>
      <c r="AB22" s="6">
        <v>0.19949000000000003</v>
      </c>
      <c r="AD22" s="7"/>
      <c r="AF22" s="7"/>
      <c r="AG22" s="7"/>
    </row>
    <row r="23" spans="1:33" x14ac:dyDescent="0.2">
      <c r="A23" s="11">
        <v>1990</v>
      </c>
      <c r="B23" s="12" t="s">
        <v>44</v>
      </c>
      <c r="C23" s="12">
        <v>43258</v>
      </c>
      <c r="D23" s="4">
        <v>191</v>
      </c>
      <c r="E23" s="5" t="s">
        <v>58</v>
      </c>
      <c r="F23" s="4" t="s">
        <v>110</v>
      </c>
      <c r="G23" s="5" t="s">
        <v>111</v>
      </c>
      <c r="H23" s="4" t="str">
        <f>"000043"</f>
        <v>000043</v>
      </c>
      <c r="I23" s="3">
        <v>43004</v>
      </c>
      <c r="J23" s="4" t="str">
        <f>"000004"</f>
        <v>000004</v>
      </c>
      <c r="K23" s="3">
        <v>43209</v>
      </c>
      <c r="L23" s="4" t="str">
        <f>"000026"</f>
        <v>000026</v>
      </c>
      <c r="M23" s="3">
        <v>43220</v>
      </c>
      <c r="N23" s="4">
        <v>17</v>
      </c>
      <c r="O23" s="4" t="str">
        <f>"002276"</f>
        <v>002276</v>
      </c>
      <c r="P23" s="3">
        <v>43257</v>
      </c>
      <c r="Q23" s="6">
        <v>11.909800000000001</v>
      </c>
      <c r="R23" s="6">
        <v>0.97760000000000002</v>
      </c>
      <c r="S23" s="6">
        <v>10.9322</v>
      </c>
      <c r="T23" s="4">
        <v>77</v>
      </c>
      <c r="U23" s="3">
        <v>43258</v>
      </c>
      <c r="V23" s="4">
        <v>9611140040</v>
      </c>
      <c r="W23" s="5" t="s">
        <v>112</v>
      </c>
      <c r="X23" s="4" t="s">
        <v>39</v>
      </c>
      <c r="Y23" s="5" t="s">
        <v>40</v>
      </c>
      <c r="Z23" s="4" t="s">
        <v>64</v>
      </c>
      <c r="AA23" s="5" t="s">
        <v>65</v>
      </c>
      <c r="AB23" s="6">
        <v>0.11909800000000001</v>
      </c>
      <c r="AD23" s="7"/>
      <c r="AF23" s="7"/>
      <c r="AG23" s="7"/>
    </row>
    <row r="24" spans="1:33" x14ac:dyDescent="0.2">
      <c r="A24" s="11">
        <v>2062</v>
      </c>
      <c r="B24" s="12" t="s">
        <v>44</v>
      </c>
      <c r="C24" s="12">
        <v>43262</v>
      </c>
      <c r="D24" s="4">
        <v>191</v>
      </c>
      <c r="E24" s="5" t="s">
        <v>58</v>
      </c>
      <c r="F24" s="4" t="s">
        <v>113</v>
      </c>
      <c r="G24" s="5" t="s">
        <v>114</v>
      </c>
      <c r="H24" s="4" t="str">
        <f>"000257"</f>
        <v>000257</v>
      </c>
      <c r="I24" s="3">
        <v>42455</v>
      </c>
      <c r="J24" s="4" t="str">
        <f>"000067"</f>
        <v>000067</v>
      </c>
      <c r="K24" s="3">
        <v>42916</v>
      </c>
      <c r="L24" s="4" t="str">
        <f>"000137"</f>
        <v>000137</v>
      </c>
      <c r="M24" s="3">
        <v>42916</v>
      </c>
      <c r="N24" s="4">
        <v>16</v>
      </c>
      <c r="O24" s="4" t="str">
        <f>"002264"</f>
        <v>002264</v>
      </c>
      <c r="P24" s="3">
        <v>43257</v>
      </c>
      <c r="Q24" s="6">
        <v>10.38775</v>
      </c>
      <c r="R24" s="6">
        <v>1.2742</v>
      </c>
      <c r="S24" s="6">
        <v>9.11355</v>
      </c>
      <c r="T24" s="4">
        <v>79</v>
      </c>
      <c r="U24" s="3">
        <v>43262</v>
      </c>
      <c r="V24" s="4">
        <v>9972188889</v>
      </c>
      <c r="W24" s="5" t="s">
        <v>115</v>
      </c>
      <c r="X24" s="4" t="s">
        <v>43</v>
      </c>
      <c r="Y24" s="5" t="s">
        <v>42</v>
      </c>
      <c r="Z24" s="4" t="s">
        <v>64</v>
      </c>
      <c r="AA24" s="5" t="s">
        <v>65</v>
      </c>
      <c r="AB24" s="6">
        <v>0.10387750000000001</v>
      </c>
      <c r="AD24" s="7"/>
      <c r="AF24" s="7"/>
      <c r="AG24" s="7"/>
    </row>
    <row r="25" spans="1:33" x14ac:dyDescent="0.2">
      <c r="A25" s="11">
        <v>2063</v>
      </c>
      <c r="B25" s="12" t="s">
        <v>44</v>
      </c>
      <c r="C25" s="12">
        <v>43262</v>
      </c>
      <c r="D25" s="4">
        <v>191</v>
      </c>
      <c r="E25" s="5" t="s">
        <v>58</v>
      </c>
      <c r="F25" s="4" t="s">
        <v>116</v>
      </c>
      <c r="G25" s="5" t="s">
        <v>117</v>
      </c>
      <c r="H25" s="4" t="str">
        <f>"000523"</f>
        <v>000523</v>
      </c>
      <c r="I25" s="3">
        <v>41360</v>
      </c>
      <c r="J25" s="4" t="str">
        <f>"000035"</f>
        <v>000035</v>
      </c>
      <c r="K25" s="3">
        <v>42881</v>
      </c>
      <c r="L25" s="4" t="str">
        <f>"000078"</f>
        <v>000078</v>
      </c>
      <c r="M25" s="3">
        <v>42886</v>
      </c>
      <c r="N25" s="4">
        <v>13</v>
      </c>
      <c r="O25" s="4" t="str">
        <f>"002266"</f>
        <v>002266</v>
      </c>
      <c r="P25" s="3">
        <v>43257</v>
      </c>
      <c r="Q25" s="6">
        <v>21.856000000000002</v>
      </c>
      <c r="R25" s="6">
        <v>3.6332499999999999</v>
      </c>
      <c r="S25" s="6">
        <v>18.222750000000001</v>
      </c>
      <c r="T25" s="4">
        <v>79</v>
      </c>
      <c r="U25" s="3">
        <v>43262</v>
      </c>
      <c r="V25" s="4">
        <v>9141648915</v>
      </c>
      <c r="W25" s="5" t="s">
        <v>41</v>
      </c>
      <c r="X25" s="4" t="s">
        <v>52</v>
      </c>
      <c r="Y25" s="5" t="s">
        <v>53</v>
      </c>
      <c r="Z25" s="4" t="s">
        <v>64</v>
      </c>
      <c r="AA25" s="5" t="s">
        <v>65</v>
      </c>
      <c r="AB25" s="6">
        <v>0.21856</v>
      </c>
      <c r="AD25" s="7"/>
      <c r="AF25" s="7"/>
      <c r="AG25" s="7"/>
    </row>
    <row r="26" spans="1:33" x14ac:dyDescent="0.2">
      <c r="A26" s="11">
        <v>2064</v>
      </c>
      <c r="B26" s="12" t="s">
        <v>44</v>
      </c>
      <c r="C26" s="12">
        <v>43262</v>
      </c>
      <c r="D26" s="4">
        <v>191</v>
      </c>
      <c r="E26" s="5" t="s">
        <v>58</v>
      </c>
      <c r="F26" s="4" t="s">
        <v>118</v>
      </c>
      <c r="G26" s="5" t="s">
        <v>119</v>
      </c>
      <c r="H26" s="4" t="str">
        <f>"000254"</f>
        <v>000254</v>
      </c>
      <c r="I26" s="3">
        <v>42455</v>
      </c>
      <c r="J26" s="4" t="str">
        <f>"000065"</f>
        <v>000065</v>
      </c>
      <c r="K26" s="3">
        <v>42916</v>
      </c>
      <c r="L26" s="4" t="str">
        <f>"000138"</f>
        <v>000138</v>
      </c>
      <c r="M26" s="3">
        <v>42916</v>
      </c>
      <c r="N26" s="4">
        <v>16</v>
      </c>
      <c r="O26" s="4" t="str">
        <f>"002267"</f>
        <v>002267</v>
      </c>
      <c r="P26" s="3">
        <v>43257</v>
      </c>
      <c r="Q26" s="6">
        <v>8.3027999999999995</v>
      </c>
      <c r="R26" s="6">
        <v>0.97440000000000004</v>
      </c>
      <c r="S26" s="6">
        <v>7.3284000000000002</v>
      </c>
      <c r="T26" s="4">
        <v>79</v>
      </c>
      <c r="U26" s="3">
        <v>43262</v>
      </c>
      <c r="V26" s="4">
        <v>9972188889</v>
      </c>
      <c r="W26" s="5" t="s">
        <v>115</v>
      </c>
      <c r="X26" s="4" t="s">
        <v>30</v>
      </c>
      <c r="Y26" s="5" t="s">
        <v>31</v>
      </c>
      <c r="Z26" s="4" t="s">
        <v>64</v>
      </c>
      <c r="AA26" s="5" t="s">
        <v>65</v>
      </c>
      <c r="AB26" s="6">
        <v>8.3027999999999991E-2</v>
      </c>
      <c r="AD26" s="7"/>
      <c r="AF26" s="7"/>
      <c r="AG26" s="7"/>
    </row>
    <row r="27" spans="1:33" x14ac:dyDescent="0.2">
      <c r="A27" s="11">
        <v>2065</v>
      </c>
      <c r="B27" s="12" t="s">
        <v>44</v>
      </c>
      <c r="C27" s="12">
        <v>43262</v>
      </c>
      <c r="D27" s="4">
        <v>191</v>
      </c>
      <c r="E27" s="5" t="s">
        <v>58</v>
      </c>
      <c r="F27" s="4" t="s">
        <v>120</v>
      </c>
      <c r="G27" s="5" t="s">
        <v>121</v>
      </c>
      <c r="H27" s="4" t="str">
        <f>"000255"</f>
        <v>000255</v>
      </c>
      <c r="I27" s="3">
        <v>42455</v>
      </c>
      <c r="J27" s="4" t="str">
        <f>"000066"</f>
        <v>000066</v>
      </c>
      <c r="K27" s="3">
        <v>42916</v>
      </c>
      <c r="L27" s="4" t="str">
        <f>"000139"</f>
        <v>000139</v>
      </c>
      <c r="M27" s="3">
        <v>42916</v>
      </c>
      <c r="N27" s="4">
        <v>16</v>
      </c>
      <c r="O27" s="4" t="str">
        <f>"002268"</f>
        <v>002268</v>
      </c>
      <c r="P27" s="3">
        <v>43257</v>
      </c>
      <c r="Q27" s="6">
        <v>7.2713999999999999</v>
      </c>
      <c r="R27" s="6">
        <v>0.85340000000000005</v>
      </c>
      <c r="S27" s="6">
        <v>6.4180000000000001</v>
      </c>
      <c r="T27" s="4">
        <v>79</v>
      </c>
      <c r="U27" s="3">
        <v>43262</v>
      </c>
      <c r="V27" s="4">
        <v>9972188889</v>
      </c>
      <c r="W27" s="5" t="s">
        <v>115</v>
      </c>
      <c r="X27" s="4" t="s">
        <v>30</v>
      </c>
      <c r="Y27" s="5" t="s">
        <v>31</v>
      </c>
      <c r="Z27" s="4" t="s">
        <v>64</v>
      </c>
      <c r="AA27" s="5" t="s">
        <v>65</v>
      </c>
      <c r="AB27" s="6">
        <v>7.2714000000000001E-2</v>
      </c>
      <c r="AD27" s="7"/>
      <c r="AF27" s="7"/>
      <c r="AG27" s="7"/>
    </row>
    <row r="28" spans="1:33" x14ac:dyDescent="0.2">
      <c r="A28" s="11">
        <v>2066</v>
      </c>
      <c r="B28" s="12" t="s">
        <v>44</v>
      </c>
      <c r="C28" s="12">
        <v>43262</v>
      </c>
      <c r="D28" s="4">
        <v>191</v>
      </c>
      <c r="E28" s="5" t="s">
        <v>58</v>
      </c>
      <c r="F28" s="4" t="s">
        <v>122</v>
      </c>
      <c r="G28" s="5" t="s">
        <v>123</v>
      </c>
      <c r="H28" s="4" t="str">
        <f>"000123"</f>
        <v>000123</v>
      </c>
      <c r="I28" s="3">
        <v>41534</v>
      </c>
      <c r="J28" s="4" t="str">
        <f>"000079"</f>
        <v>000079</v>
      </c>
      <c r="K28" s="3">
        <v>42916</v>
      </c>
      <c r="L28" s="4" t="str">
        <f>"000180"</f>
        <v>000180</v>
      </c>
      <c r="M28" s="3">
        <v>42916</v>
      </c>
      <c r="N28" s="4">
        <v>13</v>
      </c>
      <c r="O28" s="4" t="str">
        <f>"002337"</f>
        <v>002337</v>
      </c>
      <c r="P28" s="3">
        <v>43262</v>
      </c>
      <c r="Q28" s="6">
        <v>6.5457999999999998</v>
      </c>
      <c r="R28" s="6">
        <v>0.86129999999999995</v>
      </c>
      <c r="S28" s="6">
        <v>5.6844999999999999</v>
      </c>
      <c r="T28" s="4">
        <v>79</v>
      </c>
      <c r="U28" s="3">
        <v>43262</v>
      </c>
      <c r="V28" s="4">
        <v>9741841639</v>
      </c>
      <c r="W28" s="5" t="s">
        <v>124</v>
      </c>
      <c r="X28" s="4" t="s">
        <v>30</v>
      </c>
      <c r="Y28" s="5" t="s">
        <v>31</v>
      </c>
      <c r="Z28" s="4" t="s">
        <v>64</v>
      </c>
      <c r="AA28" s="5" t="s">
        <v>65</v>
      </c>
      <c r="AB28" s="6">
        <v>6.5458000000000002E-2</v>
      </c>
      <c r="AD28" s="7"/>
      <c r="AF28" s="7"/>
      <c r="AG28" s="7"/>
    </row>
    <row r="29" spans="1:33" x14ac:dyDescent="0.2">
      <c r="A29" s="11">
        <v>2067</v>
      </c>
      <c r="B29" s="12" t="s">
        <v>44</v>
      </c>
      <c r="C29" s="12">
        <v>43262</v>
      </c>
      <c r="D29" s="4">
        <v>191</v>
      </c>
      <c r="E29" s="5" t="s">
        <v>58</v>
      </c>
      <c r="F29" s="4" t="s">
        <v>125</v>
      </c>
      <c r="G29" s="5" t="s">
        <v>126</v>
      </c>
      <c r="H29" s="4" t="str">
        <f>"000118"</f>
        <v>000118</v>
      </c>
      <c r="I29" s="3">
        <v>41902</v>
      </c>
      <c r="J29" s="4" t="str">
        <f>"000077"</f>
        <v>000077</v>
      </c>
      <c r="K29" s="3">
        <v>42916</v>
      </c>
      <c r="L29" s="4" t="str">
        <f>"000182"</f>
        <v>000182</v>
      </c>
      <c r="M29" s="3">
        <v>42916</v>
      </c>
      <c r="N29" s="4">
        <v>13</v>
      </c>
      <c r="O29" s="4" t="str">
        <f>"002338"</f>
        <v>002338</v>
      </c>
      <c r="P29" s="3">
        <v>43262</v>
      </c>
      <c r="Q29" s="6">
        <v>25.4558</v>
      </c>
      <c r="R29" s="6">
        <v>3.4365000000000001</v>
      </c>
      <c r="S29" s="6">
        <v>22.019300000000001</v>
      </c>
      <c r="T29" s="4">
        <v>79</v>
      </c>
      <c r="U29" s="3">
        <v>43262</v>
      </c>
      <c r="V29" s="4">
        <v>9036718749</v>
      </c>
      <c r="W29" s="5" t="s">
        <v>127</v>
      </c>
      <c r="X29" s="4" t="s">
        <v>48</v>
      </c>
      <c r="Y29" s="5" t="s">
        <v>49</v>
      </c>
      <c r="Z29" s="4" t="s">
        <v>64</v>
      </c>
      <c r="AA29" s="5" t="s">
        <v>65</v>
      </c>
      <c r="AB29" s="6">
        <v>0.25455800000000001</v>
      </c>
      <c r="AD29" s="7"/>
      <c r="AF29" s="7"/>
      <c r="AG29" s="7"/>
    </row>
    <row r="30" spans="1:33" x14ac:dyDescent="0.2">
      <c r="A30" s="11">
        <v>2110</v>
      </c>
      <c r="B30" s="12" t="s">
        <v>44</v>
      </c>
      <c r="C30" s="12">
        <v>43264</v>
      </c>
      <c r="D30" s="4">
        <v>191</v>
      </c>
      <c r="E30" s="5" t="s">
        <v>58</v>
      </c>
      <c r="F30" s="4" t="s">
        <v>128</v>
      </c>
      <c r="G30" s="5" t="s">
        <v>129</v>
      </c>
      <c r="H30" s="4" t="str">
        <f>"0aa165"</f>
        <v>0aa165</v>
      </c>
      <c r="I30" s="3">
        <v>42910</v>
      </c>
      <c r="J30" s="4" t="str">
        <f>"000014"</f>
        <v>000014</v>
      </c>
      <c r="K30" s="3">
        <v>43227</v>
      </c>
      <c r="L30" s="4" t="str">
        <f>"000073"</f>
        <v>000073</v>
      </c>
      <c r="M30" s="3">
        <v>43245</v>
      </c>
      <c r="N30" s="4">
        <v>17</v>
      </c>
      <c r="O30" s="4" t="str">
        <f>"002490"</f>
        <v>002490</v>
      </c>
      <c r="P30" s="3">
        <v>43264</v>
      </c>
      <c r="Q30" s="6">
        <v>19.928000000000001</v>
      </c>
      <c r="R30" s="6">
        <v>2.5160999999999998</v>
      </c>
      <c r="S30" s="6">
        <v>17.411899999999999</v>
      </c>
      <c r="T30" s="4">
        <v>82</v>
      </c>
      <c r="U30" s="3">
        <v>43264</v>
      </c>
      <c r="V30" s="4">
        <v>9900294676</v>
      </c>
      <c r="W30" s="5" t="s">
        <v>41</v>
      </c>
      <c r="X30" s="4" t="s">
        <v>50</v>
      </c>
      <c r="Y30" s="5" t="s">
        <v>51</v>
      </c>
      <c r="Z30" s="4" t="s">
        <v>64</v>
      </c>
      <c r="AA30" s="5" t="s">
        <v>65</v>
      </c>
      <c r="AB30" s="6">
        <v>0.19928000000000001</v>
      </c>
      <c r="AD30" s="7"/>
      <c r="AF30" s="7"/>
      <c r="AG30" s="7"/>
    </row>
    <row r="31" spans="1:33" x14ac:dyDescent="0.2">
      <c r="A31" s="11">
        <v>2111</v>
      </c>
      <c r="B31" s="12" t="s">
        <v>44</v>
      </c>
      <c r="C31" s="12">
        <v>43264</v>
      </c>
      <c r="D31" s="4">
        <v>191</v>
      </c>
      <c r="E31" s="5" t="s">
        <v>58</v>
      </c>
      <c r="F31" s="4" t="s">
        <v>130</v>
      </c>
      <c r="G31" s="5" t="s">
        <v>131</v>
      </c>
      <c r="H31" s="4" t="str">
        <f>"00a160"</f>
        <v>00a160</v>
      </c>
      <c r="I31" s="3">
        <v>42910</v>
      </c>
      <c r="J31" s="4" t="str">
        <f>"000016"</f>
        <v>000016</v>
      </c>
      <c r="K31" s="3">
        <v>43227</v>
      </c>
      <c r="L31" s="4" t="str">
        <f>"000074"</f>
        <v>000074</v>
      </c>
      <c r="M31" s="3">
        <v>43245</v>
      </c>
      <c r="N31" s="4">
        <v>17</v>
      </c>
      <c r="O31" s="4" t="str">
        <f>"002491"</f>
        <v>002491</v>
      </c>
      <c r="P31" s="3">
        <v>43264</v>
      </c>
      <c r="Q31" s="6">
        <v>19.940000000000001</v>
      </c>
      <c r="R31" s="6">
        <v>2.5167999999999999</v>
      </c>
      <c r="S31" s="6">
        <v>17.423200000000001</v>
      </c>
      <c r="T31" s="4">
        <v>82</v>
      </c>
      <c r="U31" s="3">
        <v>43264</v>
      </c>
      <c r="V31" s="4">
        <v>9900294676</v>
      </c>
      <c r="W31" s="5" t="s">
        <v>41</v>
      </c>
      <c r="X31" s="4" t="s">
        <v>50</v>
      </c>
      <c r="Y31" s="5" t="s">
        <v>51</v>
      </c>
      <c r="Z31" s="4" t="s">
        <v>64</v>
      </c>
      <c r="AA31" s="5" t="s">
        <v>65</v>
      </c>
      <c r="AB31" s="6">
        <v>0.19940000000000002</v>
      </c>
      <c r="AD31" s="7"/>
      <c r="AF31" s="7"/>
      <c r="AG31" s="7"/>
    </row>
    <row r="32" spans="1:33" x14ac:dyDescent="0.2">
      <c r="A32" s="11">
        <v>2112</v>
      </c>
      <c r="B32" s="12" t="s">
        <v>44</v>
      </c>
      <c r="C32" s="12">
        <v>43264</v>
      </c>
      <c r="D32" s="4">
        <v>191</v>
      </c>
      <c r="E32" s="5" t="s">
        <v>58</v>
      </c>
      <c r="F32" s="4" t="s">
        <v>132</v>
      </c>
      <c r="G32" s="5" t="s">
        <v>133</v>
      </c>
      <c r="H32" s="4" t="str">
        <f>"00a164"</f>
        <v>00a164</v>
      </c>
      <c r="I32" s="3">
        <v>42910</v>
      </c>
      <c r="J32" s="4" t="str">
        <f>"000015"</f>
        <v>000015</v>
      </c>
      <c r="K32" s="3">
        <v>43227</v>
      </c>
      <c r="L32" s="4" t="str">
        <f>"000075"</f>
        <v>000075</v>
      </c>
      <c r="M32" s="3">
        <v>43245</v>
      </c>
      <c r="N32" s="4">
        <v>17</v>
      </c>
      <c r="O32" s="4" t="str">
        <f>"002492"</f>
        <v>002492</v>
      </c>
      <c r="P32" s="3">
        <v>43264</v>
      </c>
      <c r="Q32" s="6">
        <v>49.960999999999999</v>
      </c>
      <c r="R32" s="6">
        <v>6.3000999999999996</v>
      </c>
      <c r="S32" s="6">
        <v>43.660899999999998</v>
      </c>
      <c r="T32" s="4">
        <v>82</v>
      </c>
      <c r="U32" s="3">
        <v>43264</v>
      </c>
      <c r="V32" s="4">
        <v>9900294676</v>
      </c>
      <c r="W32" s="5" t="s">
        <v>41</v>
      </c>
      <c r="X32" s="4" t="s">
        <v>50</v>
      </c>
      <c r="Y32" s="5" t="s">
        <v>51</v>
      </c>
      <c r="Z32" s="4" t="s">
        <v>64</v>
      </c>
      <c r="AA32" s="5" t="s">
        <v>65</v>
      </c>
      <c r="AB32" s="6">
        <v>0.49961</v>
      </c>
      <c r="AD32" s="7"/>
      <c r="AF32" s="7"/>
      <c r="AG32" s="7"/>
    </row>
    <row r="33" spans="1:33" x14ac:dyDescent="0.2">
      <c r="A33" s="11">
        <v>2668</v>
      </c>
      <c r="B33" s="12" t="s">
        <v>44</v>
      </c>
      <c r="C33" s="12">
        <v>43276</v>
      </c>
      <c r="D33" s="4">
        <v>191</v>
      </c>
      <c r="E33" s="5" t="s">
        <v>58</v>
      </c>
      <c r="F33" s="4" t="s">
        <v>134</v>
      </c>
      <c r="G33" s="5" t="s">
        <v>135</v>
      </c>
      <c r="H33" s="4" t="str">
        <f>"000011"</f>
        <v>000011</v>
      </c>
      <c r="I33" s="3">
        <v>41781</v>
      </c>
      <c r="J33" s="4" t="str">
        <f>"000151"</f>
        <v>000151</v>
      </c>
      <c r="K33" s="3">
        <v>42035</v>
      </c>
      <c r="L33" s="4" t="str">
        <f>"000174"</f>
        <v>000174</v>
      </c>
      <c r="M33" s="3">
        <v>42332</v>
      </c>
      <c r="N33" s="4">
        <v>13</v>
      </c>
      <c r="O33" s="4" t="str">
        <f>"002795"</f>
        <v>002795</v>
      </c>
      <c r="P33" s="3">
        <v>43271</v>
      </c>
      <c r="Q33" s="6">
        <v>9.5244</v>
      </c>
      <c r="R33" s="6">
        <v>1.3674999999999999</v>
      </c>
      <c r="S33" s="6">
        <v>8.1569000000000003</v>
      </c>
      <c r="T33" s="4">
        <v>100</v>
      </c>
      <c r="U33" s="3">
        <v>43276</v>
      </c>
      <c r="V33" s="4">
        <v>9141648915</v>
      </c>
      <c r="W33" s="5" t="s">
        <v>136</v>
      </c>
      <c r="X33" s="4" t="s">
        <v>62</v>
      </c>
      <c r="Y33" s="5" t="s">
        <v>63</v>
      </c>
      <c r="Z33" s="4" t="s">
        <v>64</v>
      </c>
      <c r="AA33" s="5" t="s">
        <v>65</v>
      </c>
      <c r="AB33" s="6">
        <v>9.5243999999999995E-2</v>
      </c>
      <c r="AD33" s="7"/>
      <c r="AF33" s="7"/>
      <c r="AG33" s="7"/>
    </row>
    <row r="34" spans="1:33" x14ac:dyDescent="0.2">
      <c r="A34" s="11">
        <v>3206</v>
      </c>
      <c r="B34" s="12" t="s">
        <v>32</v>
      </c>
      <c r="C34" s="12">
        <v>43290</v>
      </c>
      <c r="D34" s="4">
        <v>191</v>
      </c>
      <c r="E34" s="5" t="s">
        <v>58</v>
      </c>
      <c r="F34" s="4" t="s">
        <v>137</v>
      </c>
      <c r="G34" s="5" t="s">
        <v>138</v>
      </c>
      <c r="H34" s="4" t="str">
        <f>"000555"</f>
        <v>000555</v>
      </c>
      <c r="I34" s="3">
        <v>41701</v>
      </c>
      <c r="J34" s="4" t="str">
        <f>"000066"</f>
        <v>000066</v>
      </c>
      <c r="K34" s="3">
        <v>42606</v>
      </c>
      <c r="L34" s="4" t="str">
        <f>"000161"</f>
        <v>000161</v>
      </c>
      <c r="M34" s="3">
        <v>42625</v>
      </c>
      <c r="N34" s="4">
        <v>15</v>
      </c>
      <c r="O34" s="4" t="str">
        <f>"003425"</f>
        <v>003425</v>
      </c>
      <c r="P34" s="3">
        <v>43288</v>
      </c>
      <c r="Q34" s="6">
        <v>2.2231200000000002</v>
      </c>
      <c r="R34" s="6">
        <v>4.4499999999999998E-2</v>
      </c>
      <c r="S34" s="6">
        <v>2.17862</v>
      </c>
      <c r="T34" s="4">
        <v>117</v>
      </c>
      <c r="U34" s="3">
        <v>43290</v>
      </c>
      <c r="V34" s="4">
        <v>9000365000</v>
      </c>
      <c r="W34" s="5" t="s">
        <v>139</v>
      </c>
      <c r="X34" s="4" t="s">
        <v>30</v>
      </c>
      <c r="Y34" s="5" t="s">
        <v>31</v>
      </c>
      <c r="Z34" s="4" t="s">
        <v>64</v>
      </c>
      <c r="AA34" s="5" t="s">
        <v>65</v>
      </c>
      <c r="AB34" s="6">
        <v>2.2231200000000003E-2</v>
      </c>
      <c r="AD34" s="7"/>
      <c r="AF34" s="7"/>
      <c r="AG34" s="7"/>
    </row>
    <row r="35" spans="1:33" x14ac:dyDescent="0.2">
      <c r="A35" s="11">
        <v>4031</v>
      </c>
      <c r="B35" s="12" t="s">
        <v>32</v>
      </c>
      <c r="C35" s="12">
        <v>43307</v>
      </c>
      <c r="D35" s="4">
        <v>191</v>
      </c>
      <c r="E35" s="5" t="s">
        <v>58</v>
      </c>
      <c r="F35" s="4" t="s">
        <v>140</v>
      </c>
      <c r="G35" s="5" t="s">
        <v>141</v>
      </c>
      <c r="H35" s="4" t="str">
        <f>"000208"</f>
        <v>000208</v>
      </c>
      <c r="I35" s="3">
        <v>42405</v>
      </c>
      <c r="J35" s="4" t="str">
        <f>"000015"</f>
        <v>000015</v>
      </c>
      <c r="K35" s="3">
        <v>42875</v>
      </c>
      <c r="L35" s="4" t="str">
        <f>"000050"</f>
        <v>000050</v>
      </c>
      <c r="M35" s="3">
        <v>42886</v>
      </c>
      <c r="N35" s="4">
        <v>16</v>
      </c>
      <c r="O35" s="4" t="str">
        <f>"004224"</f>
        <v>004224</v>
      </c>
      <c r="P35" s="3">
        <v>43305</v>
      </c>
      <c r="Q35" s="6">
        <v>9.9</v>
      </c>
      <c r="R35" s="6">
        <v>1.204</v>
      </c>
      <c r="S35" s="6">
        <v>8.6959999999999997</v>
      </c>
      <c r="T35" s="4">
        <v>142</v>
      </c>
      <c r="U35" s="3">
        <v>43307</v>
      </c>
      <c r="V35" s="4">
        <v>9611140040</v>
      </c>
      <c r="W35" s="5" t="s">
        <v>57</v>
      </c>
      <c r="X35" s="4" t="s">
        <v>30</v>
      </c>
      <c r="Y35" s="5" t="s">
        <v>31</v>
      </c>
      <c r="Z35" s="4" t="s">
        <v>64</v>
      </c>
      <c r="AA35" s="5" t="s">
        <v>65</v>
      </c>
      <c r="AB35" s="6">
        <v>9.9000000000000005E-2</v>
      </c>
      <c r="AD35" s="7"/>
      <c r="AF35" s="7"/>
      <c r="AG35" s="7"/>
    </row>
    <row r="36" spans="1:33" x14ac:dyDescent="0.2">
      <c r="A36" s="11">
        <v>4032</v>
      </c>
      <c r="B36" s="12" t="s">
        <v>32</v>
      </c>
      <c r="C36" s="12">
        <v>43307</v>
      </c>
      <c r="D36" s="4">
        <v>191</v>
      </c>
      <c r="E36" s="5" t="s">
        <v>58</v>
      </c>
      <c r="F36" s="4" t="s">
        <v>142</v>
      </c>
      <c r="G36" s="5" t="s">
        <v>143</v>
      </c>
      <c r="H36" s="4" t="str">
        <f>"000306"</f>
        <v>000306</v>
      </c>
      <c r="I36" s="3">
        <v>42094</v>
      </c>
      <c r="J36" s="4" t="str">
        <f>"000032"</f>
        <v>000032</v>
      </c>
      <c r="K36" s="3">
        <v>42881</v>
      </c>
      <c r="L36" s="4" t="str">
        <f>"000080"</f>
        <v>000080</v>
      </c>
      <c r="M36" s="3">
        <v>42886</v>
      </c>
      <c r="N36" s="4">
        <v>15</v>
      </c>
      <c r="O36" s="4" t="str">
        <f>"004251"</f>
        <v>004251</v>
      </c>
      <c r="P36" s="3">
        <v>43305</v>
      </c>
      <c r="Q36" s="6">
        <v>10.449299999999999</v>
      </c>
      <c r="R36" s="6">
        <v>1.6005</v>
      </c>
      <c r="S36" s="6">
        <v>8.8488000000000007</v>
      </c>
      <c r="T36" s="4">
        <v>142</v>
      </c>
      <c r="U36" s="3">
        <v>43307</v>
      </c>
      <c r="V36" s="4">
        <v>9141648915</v>
      </c>
      <c r="W36" s="5" t="s">
        <v>144</v>
      </c>
      <c r="X36" s="4" t="s">
        <v>30</v>
      </c>
      <c r="Y36" s="5" t="s">
        <v>31</v>
      </c>
      <c r="Z36" s="4" t="s">
        <v>64</v>
      </c>
      <c r="AA36" s="5" t="s">
        <v>65</v>
      </c>
      <c r="AB36" s="6">
        <v>0.10449299999999999</v>
      </c>
      <c r="AD36" s="7"/>
      <c r="AF36" s="7"/>
      <c r="AG36" s="7"/>
    </row>
    <row r="37" spans="1:33" x14ac:dyDescent="0.2">
      <c r="A37" s="11">
        <v>4615</v>
      </c>
      <c r="B37" s="12" t="s">
        <v>29</v>
      </c>
      <c r="C37" s="12">
        <v>43318</v>
      </c>
      <c r="D37" s="4">
        <v>191</v>
      </c>
      <c r="E37" s="5" t="s">
        <v>58</v>
      </c>
      <c r="F37" s="4" t="s">
        <v>145</v>
      </c>
      <c r="G37" s="5" t="s">
        <v>146</v>
      </c>
      <c r="H37" s="4" t="str">
        <f>"000016"</f>
        <v>000016</v>
      </c>
      <c r="I37" s="3">
        <v>42934</v>
      </c>
      <c r="J37" s="4" t="str">
        <f>"000079"</f>
        <v>000079</v>
      </c>
      <c r="K37" s="3">
        <v>43158</v>
      </c>
      <c r="L37" s="4" t="str">
        <f>"000088"</f>
        <v>000088</v>
      </c>
      <c r="M37" s="3">
        <v>43190</v>
      </c>
      <c r="N37" s="4">
        <v>16</v>
      </c>
      <c r="O37" s="4" t="str">
        <f>"004882"</f>
        <v>004882</v>
      </c>
      <c r="P37" s="3">
        <v>43316</v>
      </c>
      <c r="Q37" s="6">
        <v>9.0125499999999992</v>
      </c>
      <c r="R37" s="6">
        <v>1.2316</v>
      </c>
      <c r="S37" s="6">
        <v>7.7809499999999998</v>
      </c>
      <c r="T37" s="4">
        <v>157</v>
      </c>
      <c r="U37" s="3">
        <v>43318</v>
      </c>
      <c r="V37" s="4">
        <v>9448522225</v>
      </c>
      <c r="W37" s="5" t="s">
        <v>147</v>
      </c>
      <c r="X37" s="4" t="s">
        <v>33</v>
      </c>
      <c r="Y37" s="5" t="s">
        <v>34</v>
      </c>
      <c r="Z37" s="4" t="s">
        <v>54</v>
      </c>
      <c r="AA37" s="5" t="s">
        <v>55</v>
      </c>
      <c r="AB37" s="6">
        <v>9.0125499999999997E-2</v>
      </c>
      <c r="AD37" s="7"/>
      <c r="AF37" s="7"/>
      <c r="AG37" s="7"/>
    </row>
    <row r="38" spans="1:33" x14ac:dyDescent="0.2">
      <c r="A38" s="11">
        <v>5055</v>
      </c>
      <c r="B38" s="12" t="s">
        <v>29</v>
      </c>
      <c r="C38" s="12">
        <v>43335</v>
      </c>
      <c r="D38" s="4">
        <v>191</v>
      </c>
      <c r="E38" s="5" t="s">
        <v>58</v>
      </c>
      <c r="F38" s="4" t="s">
        <v>148</v>
      </c>
      <c r="G38" s="5" t="s">
        <v>149</v>
      </c>
      <c r="H38" s="4" t="str">
        <f>"000163"</f>
        <v>000163</v>
      </c>
      <c r="I38" s="3">
        <v>43085</v>
      </c>
      <c r="J38" s="4" t="str">
        <f>"000034"</f>
        <v>000034</v>
      </c>
      <c r="K38" s="3">
        <v>43297</v>
      </c>
      <c r="L38" s="4" t="str">
        <f>"000187"</f>
        <v>000187</v>
      </c>
      <c r="M38" s="3">
        <v>43308</v>
      </c>
      <c r="N38" s="4">
        <v>18</v>
      </c>
      <c r="O38" s="4" t="str">
        <f>"005266"</f>
        <v>005266</v>
      </c>
      <c r="P38" s="3">
        <v>43332</v>
      </c>
      <c r="Q38" s="6">
        <v>39.912999999999997</v>
      </c>
      <c r="R38" s="6">
        <v>5.0267999999999997</v>
      </c>
      <c r="S38" s="6">
        <v>34.886200000000002</v>
      </c>
      <c r="T38" s="4">
        <v>178</v>
      </c>
      <c r="U38" s="3">
        <v>43335</v>
      </c>
      <c r="V38" s="4">
        <v>9900294676</v>
      </c>
      <c r="W38" s="5" t="s">
        <v>47</v>
      </c>
      <c r="X38" s="4" t="s">
        <v>36</v>
      </c>
      <c r="Y38" s="5" t="s">
        <v>37</v>
      </c>
      <c r="Z38" s="4" t="s">
        <v>64</v>
      </c>
      <c r="AA38" s="5" t="s">
        <v>65</v>
      </c>
      <c r="AB38" s="6">
        <v>0.39912999999999998</v>
      </c>
      <c r="AD38" s="7"/>
      <c r="AF38" s="7"/>
      <c r="AG38" s="7"/>
    </row>
    <row r="39" spans="1:33" x14ac:dyDescent="0.2">
      <c r="A39" s="11">
        <v>5357</v>
      </c>
      <c r="B39" s="12" t="s">
        <v>38</v>
      </c>
      <c r="C39" s="12">
        <v>43346</v>
      </c>
      <c r="D39" s="4">
        <v>191</v>
      </c>
      <c r="E39" s="5" t="s">
        <v>58</v>
      </c>
      <c r="F39" s="4" t="s">
        <v>150</v>
      </c>
      <c r="G39" s="5" t="s">
        <v>151</v>
      </c>
      <c r="H39" s="4" t="str">
        <f>"000197"</f>
        <v>000197</v>
      </c>
      <c r="I39" s="3">
        <v>43097</v>
      </c>
      <c r="J39" s="4" t="str">
        <f>"000021"</f>
        <v>000021</v>
      </c>
      <c r="K39" s="3">
        <v>43246</v>
      </c>
      <c r="L39" s="4" t="str">
        <f>"000107"</f>
        <v>000107</v>
      </c>
      <c r="M39" s="3">
        <v>43250</v>
      </c>
      <c r="N39" s="4">
        <v>18</v>
      </c>
      <c r="O39" s="4" t="str">
        <f>"005535"</f>
        <v>005535</v>
      </c>
      <c r="P39" s="3">
        <v>43341</v>
      </c>
      <c r="Q39" s="6">
        <v>49.924999999999997</v>
      </c>
      <c r="R39" s="6">
        <v>5.9039999999999999</v>
      </c>
      <c r="S39" s="6">
        <v>44.021000000000001</v>
      </c>
      <c r="T39" s="4">
        <v>192</v>
      </c>
      <c r="U39" s="3">
        <v>43346</v>
      </c>
      <c r="V39" s="4">
        <v>9972188889</v>
      </c>
      <c r="W39" s="5" t="s">
        <v>47</v>
      </c>
      <c r="X39" s="4" t="s">
        <v>36</v>
      </c>
      <c r="Y39" s="5" t="s">
        <v>37</v>
      </c>
      <c r="Z39" s="4" t="s">
        <v>64</v>
      </c>
      <c r="AA39" s="5" t="s">
        <v>65</v>
      </c>
      <c r="AB39" s="6">
        <f t="shared" ref="AB39:AB58" si="0">Q39/100</f>
        <v>0.49924999999999997</v>
      </c>
      <c r="AD39" s="7"/>
      <c r="AF39" s="7"/>
      <c r="AG39" s="7"/>
    </row>
    <row r="40" spans="1:33" x14ac:dyDescent="0.2">
      <c r="A40" s="11">
        <v>5358</v>
      </c>
      <c r="B40" s="12" t="s">
        <v>38</v>
      </c>
      <c r="C40" s="12">
        <v>43346</v>
      </c>
      <c r="D40" s="4">
        <v>191</v>
      </c>
      <c r="E40" s="5" t="s">
        <v>58</v>
      </c>
      <c r="F40" s="4" t="s">
        <v>152</v>
      </c>
      <c r="G40" s="5" t="s">
        <v>153</v>
      </c>
      <c r="H40" s="4" t="str">
        <f>"000196"</f>
        <v>000196</v>
      </c>
      <c r="I40" s="3">
        <v>43097</v>
      </c>
      <c r="J40" s="4" t="str">
        <f>"000022"</f>
        <v>000022</v>
      </c>
      <c r="K40" s="3">
        <v>43246</v>
      </c>
      <c r="L40" s="4" t="str">
        <f>"000108"</f>
        <v>000108</v>
      </c>
      <c r="M40" s="3">
        <v>43250</v>
      </c>
      <c r="N40" s="4">
        <v>18</v>
      </c>
      <c r="O40" s="4" t="str">
        <f>"005536"</f>
        <v>005536</v>
      </c>
      <c r="P40" s="3">
        <v>43341</v>
      </c>
      <c r="Q40" s="6">
        <v>49.942</v>
      </c>
      <c r="R40" s="6">
        <v>6.0567000000000002</v>
      </c>
      <c r="S40" s="6">
        <v>43.885300000000001</v>
      </c>
      <c r="T40" s="4">
        <v>192</v>
      </c>
      <c r="U40" s="3">
        <v>43346</v>
      </c>
      <c r="V40" s="4">
        <v>9972188889</v>
      </c>
      <c r="W40" s="5" t="s">
        <v>47</v>
      </c>
      <c r="X40" s="4" t="s">
        <v>36</v>
      </c>
      <c r="Y40" s="5" t="s">
        <v>37</v>
      </c>
      <c r="Z40" s="4" t="s">
        <v>64</v>
      </c>
      <c r="AA40" s="5" t="s">
        <v>65</v>
      </c>
      <c r="AB40" s="6">
        <f t="shared" si="0"/>
        <v>0.49941999999999998</v>
      </c>
      <c r="AD40" s="7"/>
      <c r="AF40" s="7"/>
      <c r="AG40" s="7"/>
    </row>
    <row r="41" spans="1:33" x14ac:dyDescent="0.2">
      <c r="A41" s="11">
        <v>5359</v>
      </c>
      <c r="B41" s="12" t="s">
        <v>38</v>
      </c>
      <c r="C41" s="12">
        <v>43346</v>
      </c>
      <c r="D41" s="4">
        <v>191</v>
      </c>
      <c r="E41" s="5" t="s">
        <v>58</v>
      </c>
      <c r="F41" s="4" t="s">
        <v>154</v>
      </c>
      <c r="G41" s="5" t="s">
        <v>155</v>
      </c>
      <c r="H41" s="4" t="str">
        <f>"000067"</f>
        <v>000067</v>
      </c>
      <c r="I41" s="3">
        <v>42739</v>
      </c>
      <c r="J41" s="4" t="str">
        <f>"000114"</f>
        <v>000114</v>
      </c>
      <c r="K41" s="3">
        <v>42730</v>
      </c>
      <c r="L41" s="4" t="str">
        <f>"000222"</f>
        <v>000222</v>
      </c>
      <c r="M41" s="3">
        <v>42732</v>
      </c>
      <c r="N41" s="4">
        <v>16</v>
      </c>
      <c r="O41" s="4" t="str">
        <f>"005421"</f>
        <v>005421</v>
      </c>
      <c r="P41" s="3">
        <v>43340</v>
      </c>
      <c r="Q41" s="6">
        <v>49.656999999999996</v>
      </c>
      <c r="R41" s="6">
        <v>7.4015000000000004</v>
      </c>
      <c r="S41" s="6">
        <v>42.255499999999998</v>
      </c>
      <c r="T41" s="4">
        <v>193</v>
      </c>
      <c r="U41" s="3">
        <v>43346</v>
      </c>
      <c r="V41" s="4">
        <v>9845183166</v>
      </c>
      <c r="W41" s="5" t="s">
        <v>156</v>
      </c>
      <c r="X41" s="4" t="s">
        <v>50</v>
      </c>
      <c r="Y41" s="5" t="s">
        <v>51</v>
      </c>
      <c r="Z41" s="4" t="s">
        <v>64</v>
      </c>
      <c r="AA41" s="5" t="s">
        <v>65</v>
      </c>
      <c r="AB41" s="6">
        <f t="shared" si="0"/>
        <v>0.49656999999999996</v>
      </c>
      <c r="AD41" s="7"/>
      <c r="AF41" s="7"/>
      <c r="AG41" s="7"/>
    </row>
    <row r="42" spans="1:33" x14ac:dyDescent="0.2">
      <c r="A42" s="11">
        <v>5360</v>
      </c>
      <c r="B42" s="12" t="s">
        <v>38</v>
      </c>
      <c r="C42" s="12">
        <v>43346</v>
      </c>
      <c r="D42" s="4">
        <v>191</v>
      </c>
      <c r="E42" s="5" t="s">
        <v>58</v>
      </c>
      <c r="F42" s="4" t="s">
        <v>157</v>
      </c>
      <c r="G42" s="5" t="s">
        <v>158</v>
      </c>
      <c r="H42" s="4" t="str">
        <f>"000068"</f>
        <v>000068</v>
      </c>
      <c r="I42" s="3">
        <v>42516</v>
      </c>
      <c r="J42" s="4" t="str">
        <f>"00113."</f>
        <v>00113.</v>
      </c>
      <c r="K42" s="3">
        <v>42730</v>
      </c>
      <c r="L42" s="4" t="str">
        <f>"000223"</f>
        <v>000223</v>
      </c>
      <c r="M42" s="3">
        <v>42732</v>
      </c>
      <c r="N42" s="4">
        <v>16</v>
      </c>
      <c r="O42" s="4" t="str">
        <f>"005422"</f>
        <v>005422</v>
      </c>
      <c r="P42" s="3">
        <v>43340</v>
      </c>
      <c r="Q42" s="6">
        <v>48.582999999999998</v>
      </c>
      <c r="R42" s="6">
        <v>7.2675000000000001</v>
      </c>
      <c r="S42" s="6">
        <v>41.3155</v>
      </c>
      <c r="T42" s="4">
        <v>193</v>
      </c>
      <c r="U42" s="3">
        <v>43346</v>
      </c>
      <c r="V42" s="4">
        <v>9845183166</v>
      </c>
      <c r="W42" s="5" t="s">
        <v>159</v>
      </c>
      <c r="X42" s="4" t="s">
        <v>50</v>
      </c>
      <c r="Y42" s="5" t="s">
        <v>51</v>
      </c>
      <c r="Z42" s="4" t="s">
        <v>64</v>
      </c>
      <c r="AA42" s="5" t="s">
        <v>65</v>
      </c>
      <c r="AB42" s="6">
        <f t="shared" si="0"/>
        <v>0.48582999999999998</v>
      </c>
      <c r="AD42" s="7"/>
      <c r="AF42" s="7"/>
      <c r="AG42" s="7"/>
    </row>
    <row r="43" spans="1:33" x14ac:dyDescent="0.2">
      <c r="A43" s="11">
        <v>5894</v>
      </c>
      <c r="B43" s="12" t="s">
        <v>160</v>
      </c>
      <c r="C43" s="12">
        <v>43384</v>
      </c>
      <c r="D43" s="4">
        <v>191</v>
      </c>
      <c r="E43" s="5" t="s">
        <v>58</v>
      </c>
      <c r="F43" s="4" t="s">
        <v>161</v>
      </c>
      <c r="G43" s="5" t="s">
        <v>162</v>
      </c>
      <c r="H43" s="4" t="str">
        <f>"000523"</f>
        <v>000523</v>
      </c>
      <c r="I43" s="3">
        <v>43182</v>
      </c>
      <c r="J43" s="4" t="str">
        <f>"000047"</f>
        <v>000047</v>
      </c>
      <c r="K43" s="3">
        <v>43336</v>
      </c>
      <c r="L43" s="4" t="str">
        <f>"000233"</f>
        <v>000233</v>
      </c>
      <c r="M43" s="3">
        <v>43361</v>
      </c>
      <c r="N43" s="4">
        <v>18</v>
      </c>
      <c r="O43" s="4" t="str">
        <f>"006468"</f>
        <v>006468</v>
      </c>
      <c r="P43" s="3">
        <v>43383</v>
      </c>
      <c r="Q43" s="6">
        <v>66.396000000000001</v>
      </c>
      <c r="R43" s="6">
        <v>7.3480999999999996</v>
      </c>
      <c r="S43" s="6">
        <v>59.047899999999998</v>
      </c>
      <c r="T43" s="4">
        <v>226</v>
      </c>
      <c r="U43" s="3">
        <v>43384</v>
      </c>
      <c r="V43" s="4">
        <v>9900294676</v>
      </c>
      <c r="W43" s="5" t="s">
        <v>47</v>
      </c>
      <c r="X43" s="4" t="s">
        <v>36</v>
      </c>
      <c r="Y43" s="5" t="s">
        <v>37</v>
      </c>
      <c r="Z43" s="4" t="s">
        <v>64</v>
      </c>
      <c r="AA43" s="5" t="s">
        <v>65</v>
      </c>
      <c r="AB43" s="6">
        <f t="shared" si="0"/>
        <v>0.66395999999999999</v>
      </c>
      <c r="AD43" s="7"/>
      <c r="AF43" s="7"/>
      <c r="AG43" s="7"/>
    </row>
    <row r="44" spans="1:33" x14ac:dyDescent="0.2">
      <c r="A44" s="11">
        <v>5895</v>
      </c>
      <c r="B44" s="12" t="s">
        <v>160</v>
      </c>
      <c r="C44" s="12">
        <v>43384</v>
      </c>
      <c r="D44" s="4">
        <v>191</v>
      </c>
      <c r="E44" s="5" t="s">
        <v>58</v>
      </c>
      <c r="F44" s="4" t="s">
        <v>163</v>
      </c>
      <c r="G44" s="5" t="s">
        <v>164</v>
      </c>
      <c r="H44" s="4" t="str">
        <f>"000161"</f>
        <v>000161</v>
      </c>
      <c r="I44" s="3">
        <v>43085</v>
      </c>
      <c r="J44" s="4" t="str">
        <f>"000048"</f>
        <v>000048</v>
      </c>
      <c r="K44" s="3">
        <v>43336</v>
      </c>
      <c r="L44" s="4" t="str">
        <f>"000232"</f>
        <v>000232</v>
      </c>
      <c r="M44" s="3">
        <v>43360</v>
      </c>
      <c r="N44" s="4">
        <v>18</v>
      </c>
      <c r="O44" s="4" t="str">
        <f>"006469"</f>
        <v>006469</v>
      </c>
      <c r="P44" s="3">
        <v>43383</v>
      </c>
      <c r="Q44" s="6">
        <v>33.951999999999998</v>
      </c>
      <c r="R44" s="6">
        <v>4.125</v>
      </c>
      <c r="S44" s="6">
        <v>29.827000000000002</v>
      </c>
      <c r="T44" s="4">
        <v>226</v>
      </c>
      <c r="U44" s="3">
        <v>43384</v>
      </c>
      <c r="V44" s="4">
        <v>9900294676</v>
      </c>
      <c r="W44" s="5" t="s">
        <v>47</v>
      </c>
      <c r="X44" s="4" t="s">
        <v>36</v>
      </c>
      <c r="Y44" s="5" t="s">
        <v>37</v>
      </c>
      <c r="Z44" s="4" t="s">
        <v>64</v>
      </c>
      <c r="AA44" s="5" t="s">
        <v>65</v>
      </c>
      <c r="AB44" s="6">
        <f t="shared" si="0"/>
        <v>0.33951999999999999</v>
      </c>
      <c r="AD44" s="7"/>
      <c r="AF44" s="7"/>
      <c r="AG44" s="7"/>
    </row>
    <row r="45" spans="1:33" x14ac:dyDescent="0.2">
      <c r="A45" s="11">
        <v>5896</v>
      </c>
      <c r="B45" s="12" t="s">
        <v>160</v>
      </c>
      <c r="C45" s="12">
        <v>43384</v>
      </c>
      <c r="D45" s="4">
        <v>191</v>
      </c>
      <c r="E45" s="5" t="s">
        <v>58</v>
      </c>
      <c r="F45" s="4" t="s">
        <v>165</v>
      </c>
      <c r="G45" s="5" t="s">
        <v>166</v>
      </c>
      <c r="H45" s="4" t="str">
        <f>"000152"</f>
        <v>000152</v>
      </c>
      <c r="I45" s="3">
        <v>43081</v>
      </c>
      <c r="J45" s="4" t="str">
        <f>"000046"</f>
        <v>000046</v>
      </c>
      <c r="K45" s="3">
        <v>43335</v>
      </c>
      <c r="L45" s="4" t="str">
        <f>"000231"</f>
        <v>000231</v>
      </c>
      <c r="M45" s="3">
        <v>43360</v>
      </c>
      <c r="N45" s="4">
        <v>18</v>
      </c>
      <c r="O45" s="4" t="str">
        <f>"006470"</f>
        <v>006470</v>
      </c>
      <c r="P45" s="3">
        <v>43383</v>
      </c>
      <c r="Q45" s="6">
        <v>19.995000000000001</v>
      </c>
      <c r="R45" s="6">
        <v>2.4545499999999998</v>
      </c>
      <c r="S45" s="6">
        <v>17.54045</v>
      </c>
      <c r="T45" s="4">
        <v>226</v>
      </c>
      <c r="U45" s="3">
        <v>43384</v>
      </c>
      <c r="V45" s="4">
        <v>9900294676</v>
      </c>
      <c r="W45" s="5" t="s">
        <v>47</v>
      </c>
      <c r="X45" s="4" t="s">
        <v>36</v>
      </c>
      <c r="Y45" s="5" t="s">
        <v>37</v>
      </c>
      <c r="Z45" s="4" t="s">
        <v>64</v>
      </c>
      <c r="AA45" s="5" t="s">
        <v>65</v>
      </c>
      <c r="AB45" s="6">
        <f t="shared" si="0"/>
        <v>0.19995000000000002</v>
      </c>
      <c r="AD45" s="7"/>
      <c r="AF45" s="7"/>
      <c r="AG45" s="7"/>
    </row>
    <row r="46" spans="1:33" x14ac:dyDescent="0.2">
      <c r="A46" s="11">
        <v>5897</v>
      </c>
      <c r="B46" s="12" t="s">
        <v>160</v>
      </c>
      <c r="C46" s="12">
        <v>43384</v>
      </c>
      <c r="D46" s="4">
        <v>191</v>
      </c>
      <c r="E46" s="5" t="s">
        <v>58</v>
      </c>
      <c r="F46" s="4" t="s">
        <v>161</v>
      </c>
      <c r="G46" s="5" t="s">
        <v>162</v>
      </c>
      <c r="H46" s="4" t="str">
        <f>"000523"</f>
        <v>000523</v>
      </c>
      <c r="I46" s="3">
        <v>43182</v>
      </c>
      <c r="J46" s="4" t="str">
        <f>"000047"</f>
        <v>000047</v>
      </c>
      <c r="K46" s="3">
        <v>43336</v>
      </c>
      <c r="L46" s="4" t="str">
        <f>"000233"</f>
        <v>000233</v>
      </c>
      <c r="M46" s="3">
        <v>43361</v>
      </c>
      <c r="N46" s="4">
        <v>18</v>
      </c>
      <c r="O46" s="4" t="str">
        <f>"006468"</f>
        <v>006468</v>
      </c>
      <c r="P46" s="3">
        <v>43383</v>
      </c>
      <c r="Q46" s="6">
        <v>66.396000000000001</v>
      </c>
      <c r="R46" s="6">
        <v>7.3480999999999996</v>
      </c>
      <c r="S46" s="6">
        <v>59.047899999999998</v>
      </c>
      <c r="T46" s="4">
        <v>226</v>
      </c>
      <c r="U46" s="3">
        <v>43384</v>
      </c>
      <c r="V46" s="4">
        <v>9900294676</v>
      </c>
      <c r="W46" s="5" t="s">
        <v>47</v>
      </c>
      <c r="X46" s="4" t="s">
        <v>36</v>
      </c>
      <c r="Y46" s="5" t="s">
        <v>37</v>
      </c>
      <c r="Z46" s="4" t="s">
        <v>64</v>
      </c>
      <c r="AA46" s="5" t="s">
        <v>65</v>
      </c>
      <c r="AB46" s="6">
        <f t="shared" si="0"/>
        <v>0.66395999999999999</v>
      </c>
      <c r="AD46" s="7"/>
      <c r="AF46" s="7"/>
      <c r="AG46" s="7"/>
    </row>
    <row r="47" spans="1:33" x14ac:dyDescent="0.2">
      <c r="A47" s="11">
        <v>5898</v>
      </c>
      <c r="B47" s="12" t="s">
        <v>160</v>
      </c>
      <c r="C47" s="12">
        <v>43384</v>
      </c>
      <c r="D47" s="4">
        <v>191</v>
      </c>
      <c r="E47" s="5" t="s">
        <v>58</v>
      </c>
      <c r="F47" s="4" t="s">
        <v>163</v>
      </c>
      <c r="G47" s="5" t="s">
        <v>164</v>
      </c>
      <c r="H47" s="4" t="str">
        <f>"000161"</f>
        <v>000161</v>
      </c>
      <c r="I47" s="3">
        <v>43085</v>
      </c>
      <c r="J47" s="4" t="str">
        <f>"000048"</f>
        <v>000048</v>
      </c>
      <c r="K47" s="3">
        <v>43336</v>
      </c>
      <c r="L47" s="4" t="str">
        <f>"000232"</f>
        <v>000232</v>
      </c>
      <c r="M47" s="3">
        <v>43360</v>
      </c>
      <c r="N47" s="4">
        <v>18</v>
      </c>
      <c r="O47" s="4" t="str">
        <f>"006469"</f>
        <v>006469</v>
      </c>
      <c r="P47" s="3">
        <v>43383</v>
      </c>
      <c r="Q47" s="6">
        <v>33.951999999999998</v>
      </c>
      <c r="R47" s="6">
        <v>4.125</v>
      </c>
      <c r="S47" s="6">
        <v>29.827000000000002</v>
      </c>
      <c r="T47" s="4">
        <v>226</v>
      </c>
      <c r="U47" s="3">
        <v>43384</v>
      </c>
      <c r="V47" s="4">
        <v>9900294676</v>
      </c>
      <c r="W47" s="5" t="s">
        <v>47</v>
      </c>
      <c r="X47" s="4" t="s">
        <v>36</v>
      </c>
      <c r="Y47" s="5" t="s">
        <v>37</v>
      </c>
      <c r="Z47" s="4" t="s">
        <v>64</v>
      </c>
      <c r="AA47" s="5" t="s">
        <v>65</v>
      </c>
      <c r="AB47" s="6">
        <f t="shared" si="0"/>
        <v>0.33951999999999999</v>
      </c>
      <c r="AD47" s="7"/>
      <c r="AF47" s="7"/>
      <c r="AG47" s="7"/>
    </row>
    <row r="48" spans="1:33" x14ac:dyDescent="0.2">
      <c r="A48" s="11">
        <v>5899</v>
      </c>
      <c r="B48" s="12" t="s">
        <v>160</v>
      </c>
      <c r="C48" s="12">
        <v>43384</v>
      </c>
      <c r="D48" s="4">
        <v>191</v>
      </c>
      <c r="E48" s="5" t="s">
        <v>58</v>
      </c>
      <c r="F48" s="4" t="s">
        <v>165</v>
      </c>
      <c r="G48" s="5" t="s">
        <v>166</v>
      </c>
      <c r="H48" s="4" t="str">
        <f>"000152"</f>
        <v>000152</v>
      </c>
      <c r="I48" s="3">
        <v>43081</v>
      </c>
      <c r="J48" s="4" t="str">
        <f>"000046"</f>
        <v>000046</v>
      </c>
      <c r="K48" s="3">
        <v>43335</v>
      </c>
      <c r="L48" s="4" t="str">
        <f>"000231"</f>
        <v>000231</v>
      </c>
      <c r="M48" s="3">
        <v>43360</v>
      </c>
      <c r="N48" s="4">
        <v>18</v>
      </c>
      <c r="O48" s="4" t="str">
        <f>"006470"</f>
        <v>006470</v>
      </c>
      <c r="P48" s="3">
        <v>43383</v>
      </c>
      <c r="Q48" s="6">
        <v>19.995000000000001</v>
      </c>
      <c r="R48" s="6">
        <v>2.4545499999999998</v>
      </c>
      <c r="S48" s="6">
        <v>17.54045</v>
      </c>
      <c r="T48" s="4">
        <v>226</v>
      </c>
      <c r="U48" s="3">
        <v>43384</v>
      </c>
      <c r="V48" s="4">
        <v>9900294676</v>
      </c>
      <c r="W48" s="5" t="s">
        <v>47</v>
      </c>
      <c r="X48" s="4" t="s">
        <v>36</v>
      </c>
      <c r="Y48" s="5" t="s">
        <v>37</v>
      </c>
      <c r="Z48" s="4" t="s">
        <v>64</v>
      </c>
      <c r="AA48" s="5" t="s">
        <v>65</v>
      </c>
      <c r="AB48" s="6">
        <f t="shared" si="0"/>
        <v>0.19995000000000002</v>
      </c>
      <c r="AD48" s="7"/>
      <c r="AF48" s="7"/>
      <c r="AG48" s="7"/>
    </row>
    <row r="49" spans="1:33" x14ac:dyDescent="0.2">
      <c r="A49" s="11">
        <v>6337</v>
      </c>
      <c r="B49" s="12" t="s">
        <v>160</v>
      </c>
      <c r="C49" s="12">
        <v>43385</v>
      </c>
      <c r="D49" s="4">
        <v>191</v>
      </c>
      <c r="E49" s="5" t="s">
        <v>58</v>
      </c>
      <c r="F49" s="4" t="s">
        <v>167</v>
      </c>
      <c r="G49" s="5" t="s">
        <v>168</v>
      </c>
      <c r="H49" s="4" t="str">
        <f>"000102"</f>
        <v>000102</v>
      </c>
      <c r="I49" s="3">
        <v>43129</v>
      </c>
      <c r="J49" s="4" t="str">
        <f>"000011"</f>
        <v>000011</v>
      </c>
      <c r="K49" s="3">
        <v>43230</v>
      </c>
      <c r="L49" s="4" t="str">
        <f>"000050"</f>
        <v>000050</v>
      </c>
      <c r="M49" s="3">
        <v>43230</v>
      </c>
      <c r="N49" s="4">
        <v>17</v>
      </c>
      <c r="O49" s="4" t="str">
        <f>"006190"</f>
        <v>006190</v>
      </c>
      <c r="P49" s="3">
        <v>43377</v>
      </c>
      <c r="Q49" s="6">
        <v>121.77721</v>
      </c>
      <c r="R49" s="6">
        <v>10.20491</v>
      </c>
      <c r="S49" s="6">
        <v>111.5723</v>
      </c>
      <c r="T49" s="4">
        <v>227</v>
      </c>
      <c r="U49" s="3">
        <v>43385</v>
      </c>
      <c r="V49" s="4">
        <v>9986072837</v>
      </c>
      <c r="W49" s="5" t="s">
        <v>169</v>
      </c>
      <c r="X49" s="4" t="s">
        <v>45</v>
      </c>
      <c r="Y49" s="5" t="s">
        <v>46</v>
      </c>
      <c r="Z49" s="4" t="s">
        <v>170</v>
      </c>
      <c r="AA49" s="5" t="s">
        <v>171</v>
      </c>
      <c r="AB49" s="6">
        <f t="shared" si="0"/>
        <v>1.2177720999999999</v>
      </c>
      <c r="AD49" s="7"/>
      <c r="AF49" s="7"/>
      <c r="AG49" s="7"/>
    </row>
    <row r="50" spans="1:33" x14ac:dyDescent="0.2">
      <c r="A50" s="11">
        <v>6338</v>
      </c>
      <c r="B50" s="12" t="s">
        <v>160</v>
      </c>
      <c r="C50" s="12">
        <v>43385</v>
      </c>
      <c r="D50" s="4">
        <v>191</v>
      </c>
      <c r="E50" s="5" t="s">
        <v>58</v>
      </c>
      <c r="F50" s="4" t="s">
        <v>167</v>
      </c>
      <c r="G50" s="5" t="s">
        <v>168</v>
      </c>
      <c r="H50" s="4" t="str">
        <f>"000102"</f>
        <v>000102</v>
      </c>
      <c r="I50" s="3">
        <v>43129</v>
      </c>
      <c r="J50" s="4" t="str">
        <f>"000011"</f>
        <v>000011</v>
      </c>
      <c r="K50" s="3">
        <v>43230</v>
      </c>
      <c r="L50" s="4" t="str">
        <f>"000050"</f>
        <v>000050</v>
      </c>
      <c r="M50" s="3">
        <v>43230</v>
      </c>
      <c r="N50" s="4">
        <v>17</v>
      </c>
      <c r="O50" s="4" t="str">
        <f>"006190"</f>
        <v>006190</v>
      </c>
      <c r="P50" s="3">
        <v>43377</v>
      </c>
      <c r="Q50" s="6">
        <v>121.77721</v>
      </c>
      <c r="R50" s="6">
        <v>10.20491</v>
      </c>
      <c r="S50" s="6">
        <v>111.5723</v>
      </c>
      <c r="T50" s="4">
        <v>227</v>
      </c>
      <c r="U50" s="3">
        <v>43385</v>
      </c>
      <c r="V50" s="4">
        <v>9986072837</v>
      </c>
      <c r="W50" s="5" t="s">
        <v>169</v>
      </c>
      <c r="X50" s="4" t="s">
        <v>45</v>
      </c>
      <c r="Y50" s="5" t="s">
        <v>46</v>
      </c>
      <c r="Z50" s="4" t="s">
        <v>170</v>
      </c>
      <c r="AA50" s="5" t="s">
        <v>171</v>
      </c>
      <c r="AB50" s="6">
        <f t="shared" si="0"/>
        <v>1.2177720999999999</v>
      </c>
      <c r="AD50" s="7"/>
      <c r="AF50" s="7"/>
      <c r="AG50" s="7"/>
    </row>
    <row r="51" spans="1:33" x14ac:dyDescent="0.2">
      <c r="A51" s="11">
        <v>6662</v>
      </c>
      <c r="B51" s="12" t="s">
        <v>160</v>
      </c>
      <c r="C51" s="12">
        <v>43389</v>
      </c>
      <c r="D51" s="4">
        <v>191</v>
      </c>
      <c r="E51" s="5" t="s">
        <v>58</v>
      </c>
      <c r="F51" s="4" t="s">
        <v>172</v>
      </c>
      <c r="G51" s="5" t="s">
        <v>173</v>
      </c>
      <c r="H51" s="4" t="str">
        <f>"000005"</f>
        <v>000005</v>
      </c>
      <c r="I51" s="3">
        <v>42983</v>
      </c>
      <c r="J51" s="4" t="str">
        <f>"000032"</f>
        <v>000032</v>
      </c>
      <c r="K51" s="3">
        <v>43259</v>
      </c>
      <c r="L51" s="4" t="str">
        <f>"000167"</f>
        <v>000167</v>
      </c>
      <c r="M51" s="3">
        <v>43281</v>
      </c>
      <c r="N51" s="4">
        <v>17</v>
      </c>
      <c r="O51" s="4" t="str">
        <f>"006708"</f>
        <v>006708</v>
      </c>
      <c r="P51" s="3">
        <v>43388</v>
      </c>
      <c r="Q51" s="6">
        <v>19.97</v>
      </c>
      <c r="R51" s="6">
        <v>1.127</v>
      </c>
      <c r="S51" s="6">
        <v>18.843</v>
      </c>
      <c r="T51" s="4">
        <v>235</v>
      </c>
      <c r="U51" s="3">
        <v>43389</v>
      </c>
      <c r="V51" s="4">
        <v>9845183166</v>
      </c>
      <c r="W51" s="5" t="s">
        <v>174</v>
      </c>
      <c r="X51" s="4" t="s">
        <v>45</v>
      </c>
      <c r="Y51" s="5" t="s">
        <v>46</v>
      </c>
      <c r="Z51" s="4" t="s">
        <v>64</v>
      </c>
      <c r="AA51" s="5" t="s">
        <v>65</v>
      </c>
      <c r="AB51" s="6">
        <f t="shared" si="0"/>
        <v>0.19969999999999999</v>
      </c>
      <c r="AD51" s="7"/>
      <c r="AF51" s="7"/>
      <c r="AG51" s="7"/>
    </row>
    <row r="52" spans="1:33" x14ac:dyDescent="0.2">
      <c r="A52" s="11">
        <v>6795</v>
      </c>
      <c r="B52" s="12" t="s">
        <v>160</v>
      </c>
      <c r="C52" s="12">
        <v>43390</v>
      </c>
      <c r="D52" s="4">
        <v>191</v>
      </c>
      <c r="E52" s="5" t="s">
        <v>58</v>
      </c>
      <c r="F52" s="4" t="s">
        <v>175</v>
      </c>
      <c r="G52" s="5" t="s">
        <v>176</v>
      </c>
      <c r="H52" s="4" t="str">
        <f>"000409"</f>
        <v>000409</v>
      </c>
      <c r="I52" s="3">
        <v>43164</v>
      </c>
      <c r="J52" s="4" t="str">
        <f>"000068"</f>
        <v>000068</v>
      </c>
      <c r="K52" s="3">
        <v>43358</v>
      </c>
      <c r="L52" s="4" t="str">
        <f>"000237"</f>
        <v>000237</v>
      </c>
      <c r="M52" s="3">
        <v>43368</v>
      </c>
      <c r="N52" s="4">
        <v>17</v>
      </c>
      <c r="O52" s="4" t="str">
        <f>"006794"</f>
        <v>006794</v>
      </c>
      <c r="P52" s="3">
        <v>43389</v>
      </c>
      <c r="Q52" s="6">
        <v>8.5730000000000004</v>
      </c>
      <c r="R52" s="6">
        <v>0.69610000000000005</v>
      </c>
      <c r="S52" s="6">
        <v>7.8769</v>
      </c>
      <c r="T52" s="4">
        <v>245</v>
      </c>
      <c r="U52" s="3">
        <v>43390</v>
      </c>
      <c r="V52" s="4">
        <v>9886660709</v>
      </c>
      <c r="W52" s="5" t="s">
        <v>177</v>
      </c>
      <c r="X52" s="4" t="s">
        <v>39</v>
      </c>
      <c r="Y52" s="5" t="s">
        <v>40</v>
      </c>
      <c r="Z52" s="4" t="s">
        <v>64</v>
      </c>
      <c r="AA52" s="5" t="s">
        <v>65</v>
      </c>
      <c r="AB52" s="6">
        <f t="shared" si="0"/>
        <v>8.5730000000000001E-2</v>
      </c>
      <c r="AD52" s="7"/>
      <c r="AF52" s="7"/>
      <c r="AG52" s="7"/>
    </row>
    <row r="53" spans="1:33" x14ac:dyDescent="0.2">
      <c r="A53" s="11">
        <v>6819</v>
      </c>
      <c r="B53" s="12" t="s">
        <v>160</v>
      </c>
      <c r="C53" s="12">
        <v>43396</v>
      </c>
      <c r="D53" s="4">
        <v>191</v>
      </c>
      <c r="E53" s="5" t="s">
        <v>58</v>
      </c>
      <c r="F53" s="4" t="s">
        <v>178</v>
      </c>
      <c r="G53" s="5" t="s">
        <v>179</v>
      </c>
      <c r="H53" s="4" t="str">
        <f>"000003"</f>
        <v>000003</v>
      </c>
      <c r="I53" s="3">
        <v>42983</v>
      </c>
      <c r="J53" s="4" t="str">
        <f>"000033"</f>
        <v>000033</v>
      </c>
      <c r="K53" s="3">
        <v>43259</v>
      </c>
      <c r="L53" s="4" t="str">
        <f>"000168"</f>
        <v>000168</v>
      </c>
      <c r="M53" s="3">
        <v>43281</v>
      </c>
      <c r="N53" s="4">
        <v>17</v>
      </c>
      <c r="O53" s="4" t="str">
        <f>"006862"</f>
        <v>006862</v>
      </c>
      <c r="P53" s="3">
        <v>43393</v>
      </c>
      <c r="Q53" s="6">
        <v>48.7</v>
      </c>
      <c r="R53" s="6">
        <v>2.7410000000000001</v>
      </c>
      <c r="S53" s="6">
        <v>45.959000000000003</v>
      </c>
      <c r="T53" s="4">
        <v>246</v>
      </c>
      <c r="U53" s="3">
        <v>43396</v>
      </c>
      <c r="V53" s="4">
        <v>9845183166</v>
      </c>
      <c r="W53" s="5" t="s">
        <v>180</v>
      </c>
      <c r="X53" s="4" t="s">
        <v>45</v>
      </c>
      <c r="Y53" s="5" t="s">
        <v>46</v>
      </c>
      <c r="Z53" s="4" t="s">
        <v>64</v>
      </c>
      <c r="AA53" s="5" t="s">
        <v>65</v>
      </c>
      <c r="AB53" s="6">
        <f t="shared" si="0"/>
        <v>0.48700000000000004</v>
      </c>
      <c r="AD53" s="7"/>
      <c r="AF53" s="7"/>
      <c r="AG53" s="7"/>
    </row>
    <row r="54" spans="1:33" x14ac:dyDescent="0.2">
      <c r="A54" s="11">
        <v>7121</v>
      </c>
      <c r="B54" s="12" t="s">
        <v>160</v>
      </c>
      <c r="C54" s="12">
        <v>43404</v>
      </c>
      <c r="D54" s="4">
        <v>191</v>
      </c>
      <c r="E54" s="5" t="s">
        <v>58</v>
      </c>
      <c r="F54" s="4" t="s">
        <v>181</v>
      </c>
      <c r="G54" s="5" t="s">
        <v>182</v>
      </c>
      <c r="H54" s="4" t="str">
        <f>"000150"</f>
        <v>000150</v>
      </c>
      <c r="I54" s="3">
        <v>43081</v>
      </c>
      <c r="J54" s="4" t="str">
        <f>"000056"</f>
        <v>000056</v>
      </c>
      <c r="K54" s="3">
        <v>43354</v>
      </c>
      <c r="L54" s="4" t="str">
        <f>"000252"</f>
        <v>000252</v>
      </c>
      <c r="M54" s="3">
        <v>43369</v>
      </c>
      <c r="N54" s="4">
        <v>18</v>
      </c>
      <c r="O54" s="4" t="str">
        <f>"007096"</f>
        <v>007096</v>
      </c>
      <c r="P54" s="3">
        <v>43402</v>
      </c>
      <c r="Q54" s="6">
        <v>29.93</v>
      </c>
      <c r="R54" s="6">
        <v>3.8224</v>
      </c>
      <c r="S54" s="6">
        <v>26.107600000000001</v>
      </c>
      <c r="T54" s="4">
        <v>258</v>
      </c>
      <c r="U54" s="3">
        <v>43404</v>
      </c>
      <c r="V54" s="4">
        <v>9900294676</v>
      </c>
      <c r="W54" s="5" t="s">
        <v>47</v>
      </c>
      <c r="X54" s="4" t="s">
        <v>36</v>
      </c>
      <c r="Y54" s="5" t="s">
        <v>37</v>
      </c>
      <c r="Z54" s="4" t="s">
        <v>64</v>
      </c>
      <c r="AA54" s="5" t="s">
        <v>65</v>
      </c>
      <c r="AB54" s="6">
        <f t="shared" si="0"/>
        <v>0.29930000000000001</v>
      </c>
      <c r="AD54" s="7"/>
      <c r="AF54" s="7"/>
      <c r="AG54" s="7"/>
    </row>
    <row r="55" spans="1:33" x14ac:dyDescent="0.2">
      <c r="A55" s="11">
        <v>7601</v>
      </c>
      <c r="B55" s="12" t="s">
        <v>183</v>
      </c>
      <c r="C55" s="12">
        <v>43437</v>
      </c>
      <c r="D55" s="4">
        <v>191</v>
      </c>
      <c r="E55" s="5" t="s">
        <v>58</v>
      </c>
      <c r="F55" s="4" t="s">
        <v>184</v>
      </c>
      <c r="G55" s="5" t="s">
        <v>185</v>
      </c>
      <c r="H55" s="4" t="str">
        <f>"000207"</f>
        <v>000207</v>
      </c>
      <c r="I55" s="3">
        <v>42405</v>
      </c>
      <c r="J55" s="4" t="str">
        <f>"000017"</f>
        <v>000017</v>
      </c>
      <c r="K55" s="3">
        <v>42875</v>
      </c>
      <c r="L55" s="4" t="str">
        <f>"000052"</f>
        <v>000052</v>
      </c>
      <c r="M55" s="3">
        <v>42886</v>
      </c>
      <c r="N55" s="4">
        <v>16</v>
      </c>
      <c r="O55" s="4" t="str">
        <f>"007423"</f>
        <v>007423</v>
      </c>
      <c r="P55" s="3">
        <v>43421</v>
      </c>
      <c r="Q55" s="6">
        <v>11.939299999999999</v>
      </c>
      <c r="R55" s="6">
        <v>1.4519</v>
      </c>
      <c r="S55" s="6">
        <v>10.487399999999999</v>
      </c>
      <c r="T55" s="4">
        <v>279</v>
      </c>
      <c r="U55" s="3">
        <v>43437</v>
      </c>
      <c r="V55" s="4">
        <v>9611140040</v>
      </c>
      <c r="W55" s="5" t="s">
        <v>57</v>
      </c>
      <c r="X55" s="4" t="s">
        <v>30</v>
      </c>
      <c r="Y55" s="5" t="s">
        <v>31</v>
      </c>
      <c r="Z55" s="4" t="s">
        <v>64</v>
      </c>
      <c r="AA55" s="5" t="s">
        <v>65</v>
      </c>
      <c r="AB55" s="6">
        <f t="shared" si="0"/>
        <v>0.119393</v>
      </c>
      <c r="AD55" s="7"/>
      <c r="AF55" s="7"/>
      <c r="AG55" s="7"/>
    </row>
    <row r="56" spans="1:33" x14ac:dyDescent="0.2">
      <c r="A56" s="11">
        <v>7602</v>
      </c>
      <c r="B56" s="12" t="s">
        <v>183</v>
      </c>
      <c r="C56" s="12">
        <v>43437</v>
      </c>
      <c r="D56" s="4">
        <v>191</v>
      </c>
      <c r="E56" s="5" t="s">
        <v>58</v>
      </c>
      <c r="F56" s="4" t="s">
        <v>186</v>
      </c>
      <c r="G56" s="5" t="s">
        <v>187</v>
      </c>
      <c r="H56" s="4" t="str">
        <f>"000209"</f>
        <v>000209</v>
      </c>
      <c r="I56" s="3">
        <v>42405</v>
      </c>
      <c r="J56" s="4" t="str">
        <f>"000016"</f>
        <v>000016</v>
      </c>
      <c r="K56" s="3">
        <v>42875</v>
      </c>
      <c r="L56" s="4" t="str">
        <f>"000053"</f>
        <v>000053</v>
      </c>
      <c r="M56" s="3">
        <v>42886</v>
      </c>
      <c r="N56" s="4">
        <v>16</v>
      </c>
      <c r="O56" s="4" t="str">
        <f>"007424"</f>
        <v>007424</v>
      </c>
      <c r="P56" s="3">
        <v>43421</v>
      </c>
      <c r="Q56" s="6">
        <v>17.88</v>
      </c>
      <c r="R56" s="6">
        <v>2.3062</v>
      </c>
      <c r="S56" s="6">
        <v>15.5738</v>
      </c>
      <c r="T56" s="4">
        <v>279</v>
      </c>
      <c r="U56" s="3">
        <v>43437</v>
      </c>
      <c r="V56" s="4">
        <v>9611140040</v>
      </c>
      <c r="W56" s="5" t="s">
        <v>188</v>
      </c>
      <c r="X56" s="4" t="s">
        <v>30</v>
      </c>
      <c r="Y56" s="5" t="s">
        <v>31</v>
      </c>
      <c r="Z56" s="4" t="s">
        <v>64</v>
      </c>
      <c r="AA56" s="5" t="s">
        <v>65</v>
      </c>
      <c r="AB56" s="6">
        <f t="shared" si="0"/>
        <v>0.17879999999999999</v>
      </c>
      <c r="AD56" s="7"/>
      <c r="AF56" s="7"/>
      <c r="AG56" s="7"/>
    </row>
    <row r="57" spans="1:33" x14ac:dyDescent="0.2">
      <c r="A57" s="11">
        <v>7603</v>
      </c>
      <c r="B57" s="12" t="s">
        <v>183</v>
      </c>
      <c r="C57" s="12">
        <v>43437</v>
      </c>
      <c r="D57" s="4">
        <v>191</v>
      </c>
      <c r="E57" s="5" t="s">
        <v>58</v>
      </c>
      <c r="F57" s="4" t="s">
        <v>189</v>
      </c>
      <c r="G57" s="5" t="s">
        <v>190</v>
      </c>
      <c r="H57" s="4" t="str">
        <f>"000564"</f>
        <v>000564</v>
      </c>
      <c r="I57" s="3">
        <v>41702</v>
      </c>
      <c r="J57" s="4" t="str">
        <f>"000034"</f>
        <v>000034</v>
      </c>
      <c r="K57" s="3">
        <v>42881</v>
      </c>
      <c r="L57" s="4" t="str">
        <f>"000079"</f>
        <v>000079</v>
      </c>
      <c r="M57" s="3">
        <v>42886</v>
      </c>
      <c r="N57" s="4">
        <v>14</v>
      </c>
      <c r="O57" s="4" t="str">
        <f>"007459"</f>
        <v>007459</v>
      </c>
      <c r="P57" s="3">
        <v>43421</v>
      </c>
      <c r="Q57" s="6">
        <v>33.340000000000003</v>
      </c>
      <c r="R57" s="6">
        <v>5.6166</v>
      </c>
      <c r="S57" s="6">
        <v>27.723400000000002</v>
      </c>
      <c r="T57" s="4">
        <v>279</v>
      </c>
      <c r="U57" s="3">
        <v>43437</v>
      </c>
      <c r="V57" s="4">
        <v>9620299999</v>
      </c>
      <c r="W57" s="5" t="s">
        <v>191</v>
      </c>
      <c r="X57" s="4" t="s">
        <v>48</v>
      </c>
      <c r="Y57" s="5" t="s">
        <v>49</v>
      </c>
      <c r="Z57" s="4" t="s">
        <v>64</v>
      </c>
      <c r="AA57" s="5" t="s">
        <v>65</v>
      </c>
      <c r="AB57" s="6">
        <f t="shared" si="0"/>
        <v>0.33340000000000003</v>
      </c>
      <c r="AD57" s="7"/>
      <c r="AF57" s="7"/>
      <c r="AG57" s="7"/>
    </row>
    <row r="58" spans="1:33" x14ac:dyDescent="0.2">
      <c r="A58" s="11">
        <v>7813</v>
      </c>
      <c r="B58" s="12" t="s">
        <v>183</v>
      </c>
      <c r="C58" s="12">
        <v>43448</v>
      </c>
      <c r="D58" s="4">
        <v>191</v>
      </c>
      <c r="E58" s="5" t="s">
        <v>58</v>
      </c>
      <c r="F58" s="4" t="s">
        <v>192</v>
      </c>
      <c r="G58" s="5" t="s">
        <v>193</v>
      </c>
      <c r="H58" s="4" t="str">
        <f>"000069"</f>
        <v>000069</v>
      </c>
      <c r="I58" s="3">
        <v>42516</v>
      </c>
      <c r="J58" s="4" t="str">
        <f>"000164"</f>
        <v>000164</v>
      </c>
      <c r="K58" s="3">
        <v>42825</v>
      </c>
      <c r="L58" s="4" t="str">
        <f>"000312"</f>
        <v>000312</v>
      </c>
      <c r="M58" s="3">
        <v>42825</v>
      </c>
      <c r="N58" s="4">
        <v>16</v>
      </c>
      <c r="O58" s="4" t="str">
        <f>"007707"</f>
        <v>007707</v>
      </c>
      <c r="P58" s="3">
        <v>43441</v>
      </c>
      <c r="Q58" s="6">
        <v>49.75</v>
      </c>
      <c r="R58" s="6">
        <v>7.3514999999999997</v>
      </c>
      <c r="S58" s="6">
        <v>42.398499999999999</v>
      </c>
      <c r="T58" s="4">
        <v>291</v>
      </c>
      <c r="U58" s="3">
        <v>43448</v>
      </c>
      <c r="V58" s="4">
        <v>9845183166</v>
      </c>
      <c r="W58" s="5" t="s">
        <v>194</v>
      </c>
      <c r="X58" s="4" t="s">
        <v>50</v>
      </c>
      <c r="Y58" s="5" t="s">
        <v>51</v>
      </c>
      <c r="Z58" s="4" t="s">
        <v>64</v>
      </c>
      <c r="AA58" s="5" t="s">
        <v>65</v>
      </c>
      <c r="AB58" s="6">
        <f t="shared" si="0"/>
        <v>0.4975</v>
      </c>
      <c r="AD58" s="7"/>
      <c r="AF58" s="7"/>
      <c r="AG58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2019-01-17T15:06:27Z</dcterms:modified>
</cp:coreProperties>
</file>