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2" i="1" l="1"/>
  <c r="O42" i="1"/>
  <c r="L42" i="1"/>
  <c r="J42" i="1"/>
  <c r="H42" i="1"/>
  <c r="AB41" i="1"/>
  <c r="O41" i="1"/>
  <c r="L41" i="1"/>
  <c r="J41" i="1"/>
  <c r="H41" i="1"/>
  <c r="AB40" i="1"/>
  <c r="O40" i="1"/>
  <c r="L40" i="1"/>
  <c r="J40" i="1"/>
  <c r="H40" i="1"/>
  <c r="AB39" i="1"/>
  <c r="O39" i="1"/>
  <c r="L39" i="1"/>
  <c r="J39" i="1"/>
  <c r="H39" i="1"/>
  <c r="AB38" i="1"/>
  <c r="O38" i="1"/>
  <c r="L38" i="1"/>
  <c r="J38" i="1"/>
  <c r="H38" i="1"/>
  <c r="AB37" i="1"/>
  <c r="O37" i="1"/>
  <c r="L37" i="1"/>
  <c r="J37" i="1"/>
  <c r="H37" i="1"/>
  <c r="AB36" i="1"/>
  <c r="O36" i="1"/>
  <c r="L36" i="1"/>
  <c r="J36" i="1"/>
  <c r="H36" i="1"/>
  <c r="AB35" i="1"/>
  <c r="O35" i="1"/>
  <c r="L35" i="1"/>
  <c r="J35" i="1"/>
  <c r="H35" i="1"/>
  <c r="AB34" i="1"/>
  <c r="O34" i="1"/>
  <c r="L34" i="1"/>
  <c r="J34" i="1"/>
  <c r="H34" i="1"/>
  <c r="O33" i="1"/>
  <c r="L33" i="1"/>
  <c r="J33" i="1"/>
  <c r="H33" i="1"/>
  <c r="O32" i="1"/>
  <c r="L32" i="1"/>
  <c r="J32" i="1"/>
  <c r="H32" i="1"/>
  <c r="O31" i="1"/>
  <c r="L31" i="1"/>
  <c r="J31" i="1"/>
  <c r="H31" i="1"/>
  <c r="O30" i="1"/>
  <c r="L30" i="1"/>
  <c r="J30" i="1"/>
  <c r="H30" i="1"/>
  <c r="O29" i="1"/>
  <c r="L29" i="1"/>
  <c r="J29" i="1"/>
  <c r="H29" i="1"/>
  <c r="O28" i="1"/>
  <c r="L28" i="1"/>
  <c r="J28" i="1"/>
  <c r="H28" i="1"/>
  <c r="O27" i="1"/>
  <c r="L27" i="1"/>
  <c r="J27" i="1"/>
  <c r="H27" i="1"/>
  <c r="O26" i="1"/>
  <c r="L26" i="1"/>
  <c r="J26" i="1"/>
  <c r="H26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<sst xmlns="http://schemas.openxmlformats.org/spreadsheetml/2006/main" count="397" uniqueCount="173">
  <si>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</si>
  <si>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</si>
  <si>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</si>
  <si>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</si>
  <si>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</si>
  <si>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</si>
  <si>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</si>
  <si>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</si>
  <si>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</si>
  <si>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</si>
  <si>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</si>
  <si>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</si>
  <si>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</si>
  <si>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</si>
  <si>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</si>
  <si>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</si>
  <si>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</si>
  <si>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</si>
  <si>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</si>
  <si>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</si>
  <si>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</si>
  <si>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</si>
  <si>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</si>
  <si>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</si>
  <si>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</si>
  <si>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</si>
  <si>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</si>
  <si>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</si>
  <si>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</si>
  <si>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</si>
  <si>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</si>
  <si>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</si>
  <si>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</si>
  <si>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</si>
  <si>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</si>
  <si>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May</t>
  </si>
  <si>
    <t>September</t>
  </si>
  <si>
    <t>18per - Works (Bhagyajyothi, Sooru / Neeru Yojane and General) (54 Lakhs / New Wards)</t>
  </si>
  <si>
    <t>P1878</t>
  </si>
  <si>
    <t>KRIDL</t>
  </si>
  <si>
    <t>Water Supply New Areas</t>
  </si>
  <si>
    <t>P1802</t>
  </si>
  <si>
    <t>June</t>
  </si>
  <si>
    <t>P3158</t>
  </si>
  <si>
    <t>SIP Infrastructure Project works</t>
  </si>
  <si>
    <t>M/s KRIDL</t>
  </si>
  <si>
    <t>P3075</t>
  </si>
  <si>
    <t>Special comprehensive development works in Bangalore city (Bangalore city in charge Minister Discretionary Grants)</t>
  </si>
  <si>
    <t>P0311</t>
  </si>
  <si>
    <t>Landscape Development Of Parks/Medians/Boulevants and Circles(Janoodya Works)</t>
  </si>
  <si>
    <t>P2434</t>
  </si>
  <si>
    <t>Development works for Bangalore City</t>
  </si>
  <si>
    <t>P2415</t>
  </si>
  <si>
    <t>Reserve fund for TandF Committee</t>
  </si>
  <si>
    <t>P3089</t>
  </si>
  <si>
    <t>Special Development works in 7 CMC and 1 TMC area in BBMP</t>
  </si>
  <si>
    <t>ddo438</t>
  </si>
  <si>
    <t xml:space="preserve"> Executive Engineer Project Division Bomanahalli Zone</t>
  </si>
  <si>
    <t>ddo439</t>
  </si>
  <si>
    <t xml:space="preserve"> Executive Engineer Electrical Division Bomanahalli Zone</t>
  </si>
  <si>
    <t>Sri B K Vinod Kumar</t>
  </si>
  <si>
    <t>Ramu K S</t>
  </si>
  <si>
    <t>ddo444</t>
  </si>
  <si>
    <t xml:space="preserve"> Assistant Executive Engineer Anjanapura  sub Division Bomanahalli Zone</t>
  </si>
  <si>
    <t>M/s Sree Sreekanteswara Electricals</t>
  </si>
  <si>
    <t>Anjanapura</t>
  </si>
  <si>
    <t>196-16-000018</t>
  </si>
  <si>
    <t>Improvements of Roads and Drains at Silicon City layout in ward no 196</t>
  </si>
  <si>
    <t>Shankar B</t>
  </si>
  <si>
    <t>196-16-000009</t>
  </si>
  <si>
    <t>Improvements of Footpaths, Culverts and drains in ward no 196</t>
  </si>
  <si>
    <t>K.Manjunath</t>
  </si>
  <si>
    <t>196-17-000074</t>
  </si>
  <si>
    <t>Improvements of 9th Cross to Kothnur Main Road and drain at Srinidhi layout in ward no 196</t>
  </si>
  <si>
    <t>196-17-000073</t>
  </si>
  <si>
    <t>Improvements of 3rd cross to 8th cross roads and drains at Srinidhi layout in ward no 196</t>
  </si>
  <si>
    <t>196-17-000075</t>
  </si>
  <si>
    <t>Improvements of 1 to 3 Main Roads and drains at Muneshwaranagara in ward no 196</t>
  </si>
  <si>
    <t>196-17-000072</t>
  </si>
  <si>
    <t>Improvement of Road and drains at Muneshwara nagara Kaginele School Road in ward no 196</t>
  </si>
  <si>
    <t>196-17-000076</t>
  </si>
  <si>
    <t>Drilling of New Borewells and Errection of pumpsets in ward no 196 Anjanapura</t>
  </si>
  <si>
    <t>196-16-000011</t>
  </si>
  <si>
    <t>Improvements of Roads and Drains at Soudamini layout and KEB layout in ward no 196</t>
  </si>
  <si>
    <t xml:space="preserve">VENKATARAJU </t>
  </si>
  <si>
    <t>196-16-000020</t>
  </si>
  <si>
    <t>Improvements of Roads and Drains at Bhaskar nagara in ward no 196</t>
  </si>
  <si>
    <t>VENKATARAJU</t>
  </si>
  <si>
    <t>196-16-000035</t>
  </si>
  <si>
    <t>Improvements to roads and drains at Srinidhi layout in ward no 196</t>
  </si>
  <si>
    <t>196-16-000034</t>
  </si>
  <si>
    <t>Improvements to roads and drains at Adithya nagara in ward no 196</t>
  </si>
  <si>
    <t>196-16-000038</t>
  </si>
  <si>
    <t>Improvements to roads and drains at Surrounding areas of Elethotada palya in ward no 196</t>
  </si>
  <si>
    <t>196-16-000036</t>
  </si>
  <si>
    <t>Improvements to roads and drains at Surrounding areas of Gollahalli in ward no 196</t>
  </si>
  <si>
    <t>Ramu k s</t>
  </si>
  <si>
    <t>196-16-000032</t>
  </si>
  <si>
    <t>Providing water pipes and other water supply related works in ward no 196</t>
  </si>
  <si>
    <t>196-17-000029</t>
  </si>
  <si>
    <t>Construction of chain link fencing in Hindhu burrial Ground and maintenance of BBMP property at Anjanapura ward limits in ward no 196</t>
  </si>
  <si>
    <t>196-14-000062</t>
  </si>
  <si>
    <t xml:space="preserve">Removing of damaged drain slabs and Refixing and removing debries in ward no 196 </t>
  </si>
  <si>
    <t>196-16-000012</t>
  </si>
  <si>
    <t>Improvements of Roads and Drains at Annapoorneshwari layout in ward no 196</t>
  </si>
  <si>
    <t>V Venkataraju</t>
  </si>
  <si>
    <t>196-16-000019</t>
  </si>
  <si>
    <t>Improvements of Roads and Drains at Muneshwara nagara in ward no 196</t>
  </si>
  <si>
    <t>196-16-000008</t>
  </si>
  <si>
    <t>ProviProviding New UGD, Drain and Improvements to road at Avalahalli in ward no 196</t>
  </si>
  <si>
    <t>196-16-000017</t>
  </si>
  <si>
    <t>Improvements of Roads and Drains at Pai layout in ward no 196</t>
  </si>
  <si>
    <t>Venkataraju v</t>
  </si>
  <si>
    <t>196-16-000015</t>
  </si>
  <si>
    <t>Improvements of Roads and Drains at Old Bank colony in ward no 196</t>
  </si>
  <si>
    <t>Venkataraju</t>
  </si>
  <si>
    <t>196-15-000013</t>
  </si>
  <si>
    <t>Emergency Work in ward no 196</t>
  </si>
  <si>
    <t>KARUNAKAREDDY SMAAT INDIA PVT LTD</t>
  </si>
  <si>
    <t>196-16-000039</t>
  </si>
  <si>
    <t>Improvements to roads and drains at Surrounding areas of Anjanapura in ward no 196</t>
  </si>
  <si>
    <t>MANJUNATHA M V</t>
  </si>
  <si>
    <t>196-16-000001</t>
  </si>
  <si>
    <t xml:space="preserve"> Annual Operation and Maintenance of street lighting system in ward no-196 Package B13 of Bommanahalli zone.</t>
  </si>
  <si>
    <t>196-17-000045</t>
  </si>
  <si>
    <t>Providing path way to allahalli High-tension park anjanapura at ward no 196</t>
  </si>
  <si>
    <t>196-16-000030</t>
  </si>
  <si>
    <t>Improvements to Dhobighat, Providing chain link fencing drilling of borewells and other facilities in sy No. 59-2 of gollahalli at ward no 196 Anjanapura Bangalore south taluk, Bommanahalli Zone</t>
  </si>
  <si>
    <t>NADIMPALLI PURUSHOTHAM RAJU</t>
  </si>
  <si>
    <t>P1806</t>
  </si>
  <si>
    <t>Development of Dhobighat in New Zones</t>
  </si>
  <si>
    <t>196-18-000114</t>
  </si>
  <si>
    <t>PROVIDING UGD PIPE LINE AT AVALAHALLI QUARTERS IN WARD NO 196</t>
  </si>
  <si>
    <t>196-18-000112</t>
  </si>
  <si>
    <t>IMPROVEMENTS TO ROADS AND DRAINS AT GOLLAHALLI COLONY MAIN ROAD AND SURROUNDING ATES IN WARD NO 196</t>
  </si>
  <si>
    <t>196-18-000113</t>
  </si>
  <si>
    <t>IMPROVEMENTS TO ROADS AND DRAINS AT GOLLAHALLI COLONY CROSS ROAD AND SURROUNDING ATES IN WARD NO 196</t>
  </si>
  <si>
    <t>196-16-000004</t>
  </si>
  <si>
    <t>Maintenance of Borewells in ward no 196</t>
  </si>
  <si>
    <t>Franics A</t>
  </si>
  <si>
    <t>196-16-000010</t>
  </si>
  <si>
    <t>Drinking water supply through Tankers in ward no 196</t>
  </si>
  <si>
    <t>VENKATARAJU V</t>
  </si>
  <si>
    <t>196-15-000033</t>
  </si>
  <si>
    <t>Drinking water supply through tankers in Anjanapura Ward No. 196</t>
  </si>
  <si>
    <t>196-12-000070</t>
  </si>
  <si>
    <t>Improvement of road and other development works in Anjanapura in ward no 196</t>
  </si>
  <si>
    <t>K UDAY KUMAR</t>
  </si>
  <si>
    <t>October</t>
  </si>
  <si>
    <t>196-17-000052</t>
  </si>
  <si>
    <t>Maintenance of Borewells at Anjanapura and Thippasandra in ward no 196</t>
  </si>
  <si>
    <t>Hanumantharaya</t>
  </si>
  <si>
    <t>196-16-000022</t>
  </si>
  <si>
    <t>Drinking of water supply through tanker and Providing water supply pipelline in Anjanapura ward no 196</t>
  </si>
  <si>
    <t>V VENKATARAJU</t>
  </si>
  <si>
    <t>November</t>
  </si>
  <si>
    <t>196-15-000034</t>
  </si>
  <si>
    <t>Driling borewell and fixing for submersible pump and motor with end connection and pipeline in ward No. 196</t>
  </si>
  <si>
    <t>December</t>
  </si>
  <si>
    <t>196-15-000026</t>
  </si>
  <si>
    <t xml:space="preserve">Construction of Chain link fencing at Hindu Burial ground  in  Anjanapura Village of ward no 196 Anjanapura  </t>
  </si>
  <si>
    <t>G Chandrashekar</t>
  </si>
  <si>
    <t>196-17-000026</t>
  </si>
  <si>
    <t>Improvements to roads and drains Royal park opposite road at Anjanapupra in ward no 196</t>
  </si>
  <si>
    <t>196-17-000008</t>
  </si>
  <si>
    <t>Improvements of CC drains from Harinagar 1st and 3rd cross roads at Anjanapura ward no 196</t>
  </si>
  <si>
    <t>K.R.I.D.L</t>
  </si>
  <si>
    <t>P0190</t>
  </si>
  <si>
    <t>Works sanctioned by Hon Mayor</t>
  </si>
  <si>
    <t>196-17-000005</t>
  </si>
  <si>
    <t>Providing asphalting from KCA layout main road and cross roads at Anjanapura in ward no 196</t>
  </si>
  <si>
    <t>196-15-000025</t>
  </si>
  <si>
    <t xml:space="preserve">Clearing levelling and Improvements of Grave Yard of Avalahalli BDA Quarters in ward no 196 Anjanapura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</si>
</sst>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2"/>
  <sheetViews>
    <sheetView tabSelected="1" workbookViewId="0">
      <selection activeCell="D1" sqref="D1"/>
    </sheetView>
  </sheetViews>
  <sheetFormatPr defaultRowHeight="12.75" x14ac:dyDescent="0.2"/>
  <cols>
    <col min="1" max="1" width="5.42578125" style="8" bestFit="1" customWidth="1"/>
    <col min="2" max="2" width="9.140625" style="8"/>
    <col min="3" max="3" width="9.5703125" style="8" bestFit="1" customWidth="1"/>
    <col min="4" max="4" width="9.140625" style="8"/>
    <col min="5" max="5" width="10.85546875" style="9" bestFit="1" customWidth="1"/>
    <col min="6" max="6" width="13.28515625" style="9" bestFit="1" customWidth="1"/>
    <col min="7" max="7" width="35.42578125" style="9" customWidth="1"/>
    <col min="8" max="8" width="9.140625" style="9"/>
    <col min="9" max="9" width="9.140625" style="8"/>
    <col min="10" max="10" width="9.140625" style="7"/>
    <col min="11" max="20" width="9.140625" style="8"/>
    <col min="21" max="23" width="9.140625" style="10"/>
    <col min="24" max="26" width="9.140625" style="8"/>
    <col min="27" max="27" width="9.140625" style="7"/>
    <col min="28" max="28" width="9.140625" style="8"/>
    <col min="29" max="29" width="9.140625" style="7"/>
    <col min="30" max="30" width="9.140625" style="8"/>
    <col min="31" max="31" width="9.140625" style="7"/>
    <col min="32" max="33" width="9.140625" style="8"/>
    <col min="34" max="16384" width="9.140625" style="7"/>
  </cols>
  <sheetData>
    <row r="1" spans="1:33" ht="19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  <c r="AD1" s="7"/>
      <c r="AF1" s="7"/>
      <c r="AG1" s="7"/>
    </row>
    <row r="2" spans="1:33" x14ac:dyDescent="0.2">
      <c r="A2" s="11">
        <v>646</v>
      </c>
      <c r="B2" s="12" t="s">
        <v>28</v>
      </c>
      <c r="C2" s="12">
        <v>43214</v>
      </c>
      <c r="D2" s="4">
        <v>196</v>
      </c>
      <c r="E2" s="5" t="s">
        <v>65</v>
      </c>
      <c r="F2" s="4" t="s">
        <v>66</v>
      </c>
      <c r="G2" s="5" t="s">
        <v>67</v>
      </c>
      <c r="H2" s="4" t="str">
        <f>"000005"</f>
        <v>000005</v>
      </c>
      <c r="I2" s="3">
        <v>42495</v>
      </c>
      <c r="J2" s="4" t="str">
        <f>"000033"</f>
        <v>000033</v>
      </c>
      <c r="K2" s="3">
        <v>42557</v>
      </c>
      <c r="L2" s="4" t="str">
        <f>"000068"</f>
        <v>000068</v>
      </c>
      <c r="M2" s="3">
        <v>42581</v>
      </c>
      <c r="N2" s="4">
        <v>16</v>
      </c>
      <c r="O2" s="4" t="str">
        <f>"000527"</f>
        <v>000527</v>
      </c>
      <c r="P2" s="3">
        <v>43203</v>
      </c>
      <c r="Q2" s="6">
        <v>48.194000000000003</v>
      </c>
      <c r="R2" s="6">
        <v>6.6916000000000002</v>
      </c>
      <c r="S2" s="6">
        <v>41.502400000000002</v>
      </c>
      <c r="T2" s="4">
        <v>23</v>
      </c>
      <c r="U2" s="3">
        <v>43214</v>
      </c>
      <c r="V2" s="4">
        <v>9876543201</v>
      </c>
      <c r="W2" s="5" t="s">
        <v>68</v>
      </c>
      <c r="X2" s="4" t="s">
        <v>46</v>
      </c>
      <c r="Y2" s="5" t="s">
        <v>47</v>
      </c>
      <c r="Z2" s="4" t="s">
        <v>62</v>
      </c>
      <c r="AA2" s="5" t="s">
        <v>63</v>
      </c>
      <c r="AB2" s="6">
        <v>0.48194000000000004</v>
      </c>
      <c r="AD2" s="7"/>
      <c r="AF2" s="7"/>
      <c r="AG2" s="7"/>
    </row>
    <row r="3" spans="1:33" x14ac:dyDescent="0.2">
      <c r="A3" s="11">
        <v>647</v>
      </c>
      <c r="B3" s="12" t="s">
        <v>28</v>
      </c>
      <c r="C3" s="12">
        <v>43214</v>
      </c>
      <c r="D3" s="4">
        <v>196</v>
      </c>
      <c r="E3" s="5" t="s">
        <v>65</v>
      </c>
      <c r="F3" s="4" t="s">
        <v>69</v>
      </c>
      <c r="G3" s="5" t="s">
        <v>70</v>
      </c>
      <c r="H3" s="4" t="str">
        <f>"000231"</f>
        <v>000231</v>
      </c>
      <c r="I3" s="3">
        <v>42418</v>
      </c>
      <c r="J3" s="4" t="str">
        <f>"000014"</f>
        <v>000014</v>
      </c>
      <c r="K3" s="3">
        <v>42515</v>
      </c>
      <c r="L3" s="4" t="str">
        <f>"000026"</f>
        <v>000026</v>
      </c>
      <c r="M3" s="3">
        <v>42521</v>
      </c>
      <c r="N3" s="4">
        <v>16</v>
      </c>
      <c r="O3" s="4" t="str">
        <f>"000532"</f>
        <v>000532</v>
      </c>
      <c r="P3" s="3">
        <v>43203</v>
      </c>
      <c r="Q3" s="6">
        <v>15.69755</v>
      </c>
      <c r="R3" s="6">
        <v>2.2241499999999998</v>
      </c>
      <c r="S3" s="6">
        <v>13.4734</v>
      </c>
      <c r="T3" s="4">
        <v>23</v>
      </c>
      <c r="U3" s="3">
        <v>43214</v>
      </c>
      <c r="V3" s="4">
        <v>9632229990</v>
      </c>
      <c r="W3" s="5" t="s">
        <v>71</v>
      </c>
      <c r="X3" s="4" t="s">
        <v>30</v>
      </c>
      <c r="Y3" s="5" t="s">
        <v>31</v>
      </c>
      <c r="Z3" s="4" t="s">
        <v>62</v>
      </c>
      <c r="AA3" s="5" t="s">
        <v>63</v>
      </c>
      <c r="AB3" s="6">
        <v>0.15697549999999999</v>
      </c>
      <c r="AD3" s="7"/>
      <c r="AF3" s="7"/>
      <c r="AG3" s="7"/>
    </row>
    <row r="4" spans="1:33" x14ac:dyDescent="0.2">
      <c r="A4" s="11">
        <v>1036</v>
      </c>
      <c r="B4" s="12" t="s">
        <v>35</v>
      </c>
      <c r="C4" s="12">
        <v>43229</v>
      </c>
      <c r="D4" s="4">
        <v>196</v>
      </c>
      <c r="E4" s="5" t="s">
        <v>65</v>
      </c>
      <c r="F4" s="4" t="s">
        <v>72</v>
      </c>
      <c r="G4" s="5" t="s">
        <v>73</v>
      </c>
      <c r="H4" s="4" t="str">
        <f>"000350"</f>
        <v>000350</v>
      </c>
      <c r="I4" s="3">
        <v>43143</v>
      </c>
      <c r="J4" s="4" t="str">
        <f>"000097"</f>
        <v>000097</v>
      </c>
      <c r="K4" s="3">
        <v>43178</v>
      </c>
      <c r="L4" s="4" t="str">
        <f>"000156"</f>
        <v>000156</v>
      </c>
      <c r="M4" s="3">
        <v>43186</v>
      </c>
      <c r="N4" s="4">
        <v>17</v>
      </c>
      <c r="O4" s="4" t="str">
        <f>"001217"</f>
        <v>001217</v>
      </c>
      <c r="P4" s="3">
        <v>43228</v>
      </c>
      <c r="Q4" s="6">
        <v>42.69</v>
      </c>
      <c r="R4" s="6">
        <v>2.2229999999999999</v>
      </c>
      <c r="S4" s="6">
        <v>40.466999999999999</v>
      </c>
      <c r="T4" s="4">
        <v>43</v>
      </c>
      <c r="U4" s="3">
        <v>43229</v>
      </c>
      <c r="V4" s="4">
        <v>9845222227</v>
      </c>
      <c r="W4" s="5" t="s">
        <v>60</v>
      </c>
      <c r="X4" s="4" t="s">
        <v>43</v>
      </c>
      <c r="Y4" s="5" t="s">
        <v>44</v>
      </c>
      <c r="Z4" s="4" t="s">
        <v>62</v>
      </c>
      <c r="AA4" s="5" t="s">
        <v>63</v>
      </c>
      <c r="AB4" s="6">
        <v>0.4269</v>
      </c>
      <c r="AD4" s="7"/>
      <c r="AF4" s="7"/>
      <c r="AG4" s="7"/>
    </row>
    <row r="5" spans="1:33" x14ac:dyDescent="0.2">
      <c r="A5" s="11">
        <v>1037</v>
      </c>
      <c r="B5" s="12" t="s">
        <v>35</v>
      </c>
      <c r="C5" s="12">
        <v>43229</v>
      </c>
      <c r="D5" s="4">
        <v>196</v>
      </c>
      <c r="E5" s="5" t="s">
        <v>65</v>
      </c>
      <c r="F5" s="4" t="s">
        <v>74</v>
      </c>
      <c r="G5" s="5" t="s">
        <v>75</v>
      </c>
      <c r="H5" s="4" t="str">
        <f>"000349"</f>
        <v>000349</v>
      </c>
      <c r="I5" s="3">
        <v>43143</v>
      </c>
      <c r="J5" s="4" t="str">
        <f>"000099"</f>
        <v>000099</v>
      </c>
      <c r="K5" s="3">
        <v>43178</v>
      </c>
      <c r="L5" s="4" t="str">
        <f>"000157"</f>
        <v>000157</v>
      </c>
      <c r="M5" s="3">
        <v>43186</v>
      </c>
      <c r="N5" s="4">
        <v>17</v>
      </c>
      <c r="O5" s="4" t="str">
        <f>"001219"</f>
        <v>001219</v>
      </c>
      <c r="P5" s="3">
        <v>43228</v>
      </c>
      <c r="Q5" s="6">
        <v>43.82</v>
      </c>
      <c r="R5" s="6">
        <v>2.29</v>
      </c>
      <c r="S5" s="6">
        <v>41.53</v>
      </c>
      <c r="T5" s="4">
        <v>43</v>
      </c>
      <c r="U5" s="3">
        <v>43229</v>
      </c>
      <c r="V5" s="4">
        <v>9845222227</v>
      </c>
      <c r="W5" s="5" t="s">
        <v>60</v>
      </c>
      <c r="X5" s="4" t="s">
        <v>43</v>
      </c>
      <c r="Y5" s="5" t="s">
        <v>44</v>
      </c>
      <c r="Z5" s="4" t="s">
        <v>62</v>
      </c>
      <c r="AA5" s="5" t="s">
        <v>63</v>
      </c>
      <c r="AB5" s="6">
        <v>0.43819999999999998</v>
      </c>
      <c r="AD5" s="7"/>
      <c r="AF5" s="7"/>
      <c r="AG5" s="7"/>
    </row>
    <row r="6" spans="1:33" x14ac:dyDescent="0.2">
      <c r="A6" s="11">
        <v>1038</v>
      </c>
      <c r="B6" s="12" t="s">
        <v>35</v>
      </c>
      <c r="C6" s="12">
        <v>43229</v>
      </c>
      <c r="D6" s="4">
        <v>196</v>
      </c>
      <c r="E6" s="5" t="s">
        <v>65</v>
      </c>
      <c r="F6" s="4" t="s">
        <v>76</v>
      </c>
      <c r="G6" s="5" t="s">
        <v>77</v>
      </c>
      <c r="H6" s="4" t="str">
        <f>"000351"</f>
        <v>000351</v>
      </c>
      <c r="I6" s="3">
        <v>43143</v>
      </c>
      <c r="J6" s="4" t="str">
        <f>"000098"</f>
        <v>000098</v>
      </c>
      <c r="K6" s="3">
        <v>43178</v>
      </c>
      <c r="L6" s="4" t="str">
        <f>"000158"</f>
        <v>000158</v>
      </c>
      <c r="M6" s="3">
        <v>43186</v>
      </c>
      <c r="N6" s="4">
        <v>17</v>
      </c>
      <c r="O6" s="4" t="str">
        <f>"001220"</f>
        <v>001220</v>
      </c>
      <c r="P6" s="3">
        <v>43228</v>
      </c>
      <c r="Q6" s="6">
        <v>43.4</v>
      </c>
      <c r="R6" s="6">
        <v>2.2749999999999999</v>
      </c>
      <c r="S6" s="6">
        <v>41.125</v>
      </c>
      <c r="T6" s="4">
        <v>43</v>
      </c>
      <c r="U6" s="3">
        <v>43229</v>
      </c>
      <c r="V6" s="4">
        <v>9845222227</v>
      </c>
      <c r="W6" s="5" t="s">
        <v>60</v>
      </c>
      <c r="X6" s="4" t="s">
        <v>43</v>
      </c>
      <c r="Y6" s="5" t="s">
        <v>44</v>
      </c>
      <c r="Z6" s="4" t="s">
        <v>62</v>
      </c>
      <c r="AA6" s="5" t="s">
        <v>63</v>
      </c>
      <c r="AB6" s="6">
        <v>0.434</v>
      </c>
      <c r="AD6" s="7"/>
      <c r="AF6" s="7"/>
      <c r="AG6" s="7"/>
    </row>
    <row r="7" spans="1:33" x14ac:dyDescent="0.2">
      <c r="A7" s="11">
        <v>1039</v>
      </c>
      <c r="B7" s="12" t="s">
        <v>35</v>
      </c>
      <c r="C7" s="12">
        <v>43229</v>
      </c>
      <c r="D7" s="4">
        <v>196</v>
      </c>
      <c r="E7" s="5" t="s">
        <v>65</v>
      </c>
      <c r="F7" s="4" t="s">
        <v>78</v>
      </c>
      <c r="G7" s="5" t="s">
        <v>79</v>
      </c>
      <c r="H7" s="4" t="str">
        <f>"000348"</f>
        <v>000348</v>
      </c>
      <c r="I7" s="3">
        <v>43143</v>
      </c>
      <c r="J7" s="4" t="str">
        <f>"000104"</f>
        <v>000104</v>
      </c>
      <c r="K7" s="3">
        <v>43186</v>
      </c>
      <c r="L7" s="4" t="str">
        <f>"000159"</f>
        <v>000159</v>
      </c>
      <c r="M7" s="3">
        <v>43186</v>
      </c>
      <c r="N7" s="4">
        <v>17</v>
      </c>
      <c r="O7" s="4" t="str">
        <f>"001222"</f>
        <v>001222</v>
      </c>
      <c r="P7" s="3">
        <v>43228</v>
      </c>
      <c r="Q7" s="6">
        <v>31.45</v>
      </c>
      <c r="R7" s="6">
        <v>1.6419999999999999</v>
      </c>
      <c r="S7" s="6">
        <v>29.808</v>
      </c>
      <c r="T7" s="4">
        <v>43</v>
      </c>
      <c r="U7" s="3">
        <v>43229</v>
      </c>
      <c r="V7" s="4">
        <v>9845222227</v>
      </c>
      <c r="W7" s="5" t="s">
        <v>60</v>
      </c>
      <c r="X7" s="4" t="s">
        <v>43</v>
      </c>
      <c r="Y7" s="5" t="s">
        <v>44</v>
      </c>
      <c r="Z7" s="4" t="s">
        <v>62</v>
      </c>
      <c r="AA7" s="5" t="s">
        <v>63</v>
      </c>
      <c r="AB7" s="6">
        <v>0.3145</v>
      </c>
      <c r="AD7" s="7"/>
      <c r="AF7" s="7"/>
      <c r="AG7" s="7"/>
    </row>
    <row r="8" spans="1:33" x14ac:dyDescent="0.2">
      <c r="A8" s="11">
        <v>1040</v>
      </c>
      <c r="B8" s="12" t="s">
        <v>35</v>
      </c>
      <c r="C8" s="12">
        <v>43229</v>
      </c>
      <c r="D8" s="4">
        <v>196</v>
      </c>
      <c r="E8" s="5" t="s">
        <v>65</v>
      </c>
      <c r="F8" s="4" t="s">
        <v>80</v>
      </c>
      <c r="G8" s="5" t="s">
        <v>81</v>
      </c>
      <c r="H8" s="4" t="str">
        <f>"000352"</f>
        <v>000352</v>
      </c>
      <c r="I8" s="3">
        <v>43143</v>
      </c>
      <c r="J8" s="4" t="str">
        <f>"000096"</f>
        <v>000096</v>
      </c>
      <c r="K8" s="3">
        <v>43178</v>
      </c>
      <c r="L8" s="4" t="str">
        <f>"000160"</f>
        <v>000160</v>
      </c>
      <c r="M8" s="3">
        <v>43186</v>
      </c>
      <c r="N8" s="4">
        <v>17</v>
      </c>
      <c r="O8" s="4" t="str">
        <f>"001330"</f>
        <v>001330</v>
      </c>
      <c r="P8" s="3">
        <v>43229</v>
      </c>
      <c r="Q8" s="6">
        <v>19.14</v>
      </c>
      <c r="R8" s="6">
        <v>0.44</v>
      </c>
      <c r="S8" s="6">
        <v>18.7</v>
      </c>
      <c r="T8" s="4">
        <v>47</v>
      </c>
      <c r="U8" s="3">
        <v>43229</v>
      </c>
      <c r="V8" s="4">
        <v>9845222227</v>
      </c>
      <c r="W8" s="5" t="s">
        <v>60</v>
      </c>
      <c r="X8" s="4" t="s">
        <v>43</v>
      </c>
      <c r="Y8" s="5" t="s">
        <v>44</v>
      </c>
      <c r="Z8" s="4" t="s">
        <v>62</v>
      </c>
      <c r="AA8" s="5" t="s">
        <v>63</v>
      </c>
      <c r="AB8" s="6">
        <v>0.19140000000000001</v>
      </c>
      <c r="AD8" s="7"/>
      <c r="AF8" s="7"/>
      <c r="AG8" s="7"/>
    </row>
    <row r="9" spans="1:33" x14ac:dyDescent="0.2">
      <c r="A9" s="11">
        <v>1269</v>
      </c>
      <c r="B9" s="12" t="s">
        <v>35</v>
      </c>
      <c r="C9" s="12">
        <v>43238</v>
      </c>
      <c r="D9" s="4">
        <v>196</v>
      </c>
      <c r="E9" s="5" t="s">
        <v>65</v>
      </c>
      <c r="F9" s="4" t="s">
        <v>82</v>
      </c>
      <c r="G9" s="5" t="s">
        <v>83</v>
      </c>
      <c r="H9" s="4" t="str">
        <f>"000060"</f>
        <v>000060</v>
      </c>
      <c r="I9" s="3">
        <v>42515</v>
      </c>
      <c r="J9" s="4" t="str">
        <f>"000045"</f>
        <v>000045</v>
      </c>
      <c r="K9" s="3">
        <v>42566</v>
      </c>
      <c r="L9" s="4" t="str">
        <f>"000099"</f>
        <v>000099</v>
      </c>
      <c r="M9" s="3">
        <v>42598</v>
      </c>
      <c r="N9" s="4">
        <v>16</v>
      </c>
      <c r="O9" s="4" t="str">
        <f>"001382"</f>
        <v>001382</v>
      </c>
      <c r="P9" s="3">
        <v>43236</v>
      </c>
      <c r="Q9" s="6">
        <v>52.152000000000001</v>
      </c>
      <c r="R9" s="6">
        <v>7.3834</v>
      </c>
      <c r="S9" s="6">
        <v>44.768599999999999</v>
      </c>
      <c r="T9" s="4">
        <v>52</v>
      </c>
      <c r="U9" s="3">
        <v>43238</v>
      </c>
      <c r="V9" s="4">
        <v>9845183166</v>
      </c>
      <c r="W9" s="5" t="s">
        <v>84</v>
      </c>
      <c r="X9" s="4" t="s">
        <v>46</v>
      </c>
      <c r="Y9" s="5" t="s">
        <v>47</v>
      </c>
      <c r="Z9" s="4" t="s">
        <v>62</v>
      </c>
      <c r="AA9" s="5" t="s">
        <v>63</v>
      </c>
      <c r="AB9" s="6">
        <v>0.52151999999999998</v>
      </c>
      <c r="AD9" s="7"/>
      <c r="AF9" s="7"/>
      <c r="AG9" s="7"/>
    </row>
    <row r="10" spans="1:33" x14ac:dyDescent="0.2">
      <c r="A10" s="11">
        <v>1270</v>
      </c>
      <c r="B10" s="12" t="s">
        <v>35</v>
      </c>
      <c r="C10" s="12">
        <v>43238</v>
      </c>
      <c r="D10" s="4">
        <v>196</v>
      </c>
      <c r="E10" s="5" t="s">
        <v>65</v>
      </c>
      <c r="F10" s="4" t="s">
        <v>85</v>
      </c>
      <c r="G10" s="5" t="s">
        <v>86</v>
      </c>
      <c r="H10" s="4" t="str">
        <f>"000061"</f>
        <v>000061</v>
      </c>
      <c r="I10" s="3">
        <v>42515</v>
      </c>
      <c r="J10" s="4" t="str">
        <f>"000050"</f>
        <v>000050</v>
      </c>
      <c r="K10" s="3">
        <v>42570</v>
      </c>
      <c r="L10" s="4" t="str">
        <f>"000109"</f>
        <v>000109</v>
      </c>
      <c r="M10" s="3">
        <v>42605</v>
      </c>
      <c r="N10" s="4">
        <v>16</v>
      </c>
      <c r="O10" s="4" t="str">
        <f>"001384"</f>
        <v>001384</v>
      </c>
      <c r="P10" s="3">
        <v>43236</v>
      </c>
      <c r="Q10" s="6">
        <v>52.3245</v>
      </c>
      <c r="R10" s="6">
        <v>7.4465500000000002</v>
      </c>
      <c r="S10" s="6">
        <v>44.877949999999998</v>
      </c>
      <c r="T10" s="4">
        <v>52</v>
      </c>
      <c r="U10" s="3">
        <v>43238</v>
      </c>
      <c r="V10" s="4">
        <v>9845183166</v>
      </c>
      <c r="W10" s="5" t="s">
        <v>87</v>
      </c>
      <c r="X10" s="4" t="s">
        <v>46</v>
      </c>
      <c r="Y10" s="5" t="s">
        <v>47</v>
      </c>
      <c r="Z10" s="4" t="s">
        <v>62</v>
      </c>
      <c r="AA10" s="5" t="s">
        <v>63</v>
      </c>
      <c r="AB10" s="6">
        <v>0.52324499999999996</v>
      </c>
      <c r="AD10" s="7"/>
      <c r="AF10" s="7"/>
      <c r="AG10" s="7"/>
    </row>
    <row r="11" spans="1:33" x14ac:dyDescent="0.2">
      <c r="A11" s="11">
        <v>1271</v>
      </c>
      <c r="B11" s="12" t="s">
        <v>35</v>
      </c>
      <c r="C11" s="12">
        <v>43238</v>
      </c>
      <c r="D11" s="4">
        <v>196</v>
      </c>
      <c r="E11" s="5" t="s">
        <v>65</v>
      </c>
      <c r="F11" s="4" t="s">
        <v>88</v>
      </c>
      <c r="G11" s="5" t="s">
        <v>89</v>
      </c>
      <c r="H11" s="4" t="str">
        <f>"000088"</f>
        <v>000088</v>
      </c>
      <c r="I11" s="3">
        <v>42516</v>
      </c>
      <c r="J11" s="4" t="str">
        <f>"000035"</f>
        <v>000035</v>
      </c>
      <c r="K11" s="3">
        <v>42562</v>
      </c>
      <c r="L11" s="4" t="str">
        <f>"000066"</f>
        <v>000066</v>
      </c>
      <c r="M11" s="3">
        <v>42581</v>
      </c>
      <c r="N11" s="4">
        <v>16</v>
      </c>
      <c r="O11" s="4" t="str">
        <f>"001434"</f>
        <v>001434</v>
      </c>
      <c r="P11" s="3">
        <v>43236</v>
      </c>
      <c r="Q11" s="6">
        <v>40.971350000000001</v>
      </c>
      <c r="R11" s="6">
        <v>5.7977999999999996</v>
      </c>
      <c r="S11" s="6">
        <v>35.173549999999999</v>
      </c>
      <c r="T11" s="4">
        <v>52</v>
      </c>
      <c r="U11" s="3">
        <v>43238</v>
      </c>
      <c r="V11" s="4">
        <v>9845183166</v>
      </c>
      <c r="W11" s="5" t="s">
        <v>61</v>
      </c>
      <c r="X11" s="4" t="s">
        <v>54</v>
      </c>
      <c r="Y11" s="5" t="s">
        <v>55</v>
      </c>
      <c r="Z11" s="4" t="s">
        <v>62</v>
      </c>
      <c r="AA11" s="5" t="s">
        <v>63</v>
      </c>
      <c r="AB11" s="6">
        <v>0.40971350000000001</v>
      </c>
      <c r="AD11" s="7"/>
      <c r="AF11" s="7"/>
      <c r="AG11" s="7"/>
    </row>
    <row r="12" spans="1:33" x14ac:dyDescent="0.2">
      <c r="A12" s="11">
        <v>1272</v>
      </c>
      <c r="B12" s="12" t="s">
        <v>35</v>
      </c>
      <c r="C12" s="12">
        <v>43238</v>
      </c>
      <c r="D12" s="4">
        <v>196</v>
      </c>
      <c r="E12" s="5" t="s">
        <v>65</v>
      </c>
      <c r="F12" s="4" t="s">
        <v>90</v>
      </c>
      <c r="G12" s="5" t="s">
        <v>91</v>
      </c>
      <c r="H12" s="4" t="str">
        <f>"000087"</f>
        <v>000087</v>
      </c>
      <c r="I12" s="3">
        <v>42516</v>
      </c>
      <c r="J12" s="4" t="str">
        <f>"000034"</f>
        <v>000034</v>
      </c>
      <c r="K12" s="3">
        <v>42562</v>
      </c>
      <c r="L12" s="4" t="str">
        <f>"000067"</f>
        <v>000067</v>
      </c>
      <c r="M12" s="3">
        <v>42581</v>
      </c>
      <c r="N12" s="4">
        <v>16</v>
      </c>
      <c r="O12" s="4" t="str">
        <f>"001435"</f>
        <v>001435</v>
      </c>
      <c r="P12" s="3">
        <v>43236</v>
      </c>
      <c r="Q12" s="6">
        <v>40.962499999999999</v>
      </c>
      <c r="R12" s="6">
        <v>5.7966499999999996</v>
      </c>
      <c r="S12" s="6">
        <v>35.165849999999999</v>
      </c>
      <c r="T12" s="4">
        <v>52</v>
      </c>
      <c r="U12" s="3">
        <v>43238</v>
      </c>
      <c r="V12" s="4">
        <v>9845183166</v>
      </c>
      <c r="W12" s="5" t="s">
        <v>61</v>
      </c>
      <c r="X12" s="4" t="s">
        <v>54</v>
      </c>
      <c r="Y12" s="5" t="s">
        <v>55</v>
      </c>
      <c r="Z12" s="4" t="s">
        <v>62</v>
      </c>
      <c r="AA12" s="5" t="s">
        <v>63</v>
      </c>
      <c r="AB12" s="6">
        <v>0.40962499999999996</v>
      </c>
      <c r="AD12" s="7"/>
      <c r="AF12" s="7"/>
      <c r="AG12" s="7"/>
    </row>
    <row r="13" spans="1:33" x14ac:dyDescent="0.2">
      <c r="A13" s="11">
        <v>1273</v>
      </c>
      <c r="B13" s="12" t="s">
        <v>35</v>
      </c>
      <c r="C13" s="12">
        <v>43238</v>
      </c>
      <c r="D13" s="4">
        <v>196</v>
      </c>
      <c r="E13" s="5" t="s">
        <v>65</v>
      </c>
      <c r="F13" s="4" t="s">
        <v>92</v>
      </c>
      <c r="G13" s="5" t="s">
        <v>93</v>
      </c>
      <c r="H13" s="4" t="str">
        <f>"000090"</f>
        <v>000090</v>
      </c>
      <c r="I13" s="3">
        <v>42516</v>
      </c>
      <c r="J13" s="4" t="str">
        <f>"000040"</f>
        <v>000040</v>
      </c>
      <c r="K13" s="3">
        <v>42562</v>
      </c>
      <c r="L13" s="4" t="str">
        <f>"000086"</f>
        <v>000086</v>
      </c>
      <c r="M13" s="3">
        <v>42581</v>
      </c>
      <c r="N13" s="4">
        <v>16</v>
      </c>
      <c r="O13" s="4" t="str">
        <f>"001436"</f>
        <v>001436</v>
      </c>
      <c r="P13" s="3">
        <v>43236</v>
      </c>
      <c r="Q13" s="6">
        <v>30.701160000000002</v>
      </c>
      <c r="R13" s="6">
        <v>4.3479999999999999</v>
      </c>
      <c r="S13" s="6">
        <v>26.353159999999999</v>
      </c>
      <c r="T13" s="4">
        <v>52</v>
      </c>
      <c r="U13" s="3">
        <v>43238</v>
      </c>
      <c r="V13" s="4">
        <v>9845183166</v>
      </c>
      <c r="W13" s="5" t="s">
        <v>61</v>
      </c>
      <c r="X13" s="4" t="s">
        <v>54</v>
      </c>
      <c r="Y13" s="5" t="s">
        <v>55</v>
      </c>
      <c r="Z13" s="4" t="s">
        <v>62</v>
      </c>
      <c r="AA13" s="5" t="s">
        <v>63</v>
      </c>
      <c r="AB13" s="6">
        <v>0.3070116</v>
      </c>
      <c r="AD13" s="7"/>
      <c r="AF13" s="7"/>
      <c r="AG13" s="7"/>
    </row>
    <row r="14" spans="1:33" x14ac:dyDescent="0.2">
      <c r="A14" s="11">
        <v>1274</v>
      </c>
      <c r="B14" s="12" t="s">
        <v>35</v>
      </c>
      <c r="C14" s="12">
        <v>43238</v>
      </c>
      <c r="D14" s="4">
        <v>196</v>
      </c>
      <c r="E14" s="5" t="s">
        <v>65</v>
      </c>
      <c r="F14" s="4" t="s">
        <v>94</v>
      </c>
      <c r="G14" s="5" t="s">
        <v>95</v>
      </c>
      <c r="H14" s="4" t="str">
        <f>"000089"</f>
        <v>000089</v>
      </c>
      <c r="I14" s="3">
        <v>42516</v>
      </c>
      <c r="J14" s="4" t="str">
        <f>"000039"</f>
        <v>000039</v>
      </c>
      <c r="K14" s="3">
        <v>42562</v>
      </c>
      <c r="L14" s="4" t="str">
        <f>"000091"</f>
        <v>000091</v>
      </c>
      <c r="M14" s="3">
        <v>42581</v>
      </c>
      <c r="N14" s="4">
        <v>16</v>
      </c>
      <c r="O14" s="4" t="str">
        <f>"001438"</f>
        <v>001438</v>
      </c>
      <c r="P14" s="3">
        <v>43236</v>
      </c>
      <c r="Q14" s="6">
        <v>30.6492</v>
      </c>
      <c r="R14" s="6">
        <v>4.3412499999999996</v>
      </c>
      <c r="S14" s="6">
        <v>26.307950000000002</v>
      </c>
      <c r="T14" s="4">
        <v>52</v>
      </c>
      <c r="U14" s="3">
        <v>43238</v>
      </c>
      <c r="V14" s="4">
        <v>9845966999</v>
      </c>
      <c r="W14" s="5" t="s">
        <v>96</v>
      </c>
      <c r="X14" s="4" t="s">
        <v>54</v>
      </c>
      <c r="Y14" s="5" t="s">
        <v>55</v>
      </c>
      <c r="Z14" s="4" t="s">
        <v>62</v>
      </c>
      <c r="AA14" s="5" t="s">
        <v>63</v>
      </c>
      <c r="AB14" s="6">
        <v>0.30649199999999999</v>
      </c>
      <c r="AD14" s="7"/>
      <c r="AF14" s="7"/>
      <c r="AG14" s="7"/>
    </row>
    <row r="15" spans="1:33" x14ac:dyDescent="0.2">
      <c r="A15" s="11">
        <v>1275</v>
      </c>
      <c r="B15" s="12" t="s">
        <v>35</v>
      </c>
      <c r="C15" s="12">
        <v>43238</v>
      </c>
      <c r="D15" s="4">
        <v>196</v>
      </c>
      <c r="E15" s="5" t="s">
        <v>65</v>
      </c>
      <c r="F15" s="4" t="s">
        <v>97</v>
      </c>
      <c r="G15" s="5" t="s">
        <v>98</v>
      </c>
      <c r="H15" s="4" t="str">
        <f>"00A261"</f>
        <v>00A261</v>
      </c>
      <c r="I15" s="3">
        <v>42457</v>
      </c>
      <c r="J15" s="4" t="str">
        <f>"000049"</f>
        <v>000049</v>
      </c>
      <c r="K15" s="3">
        <v>42570</v>
      </c>
      <c r="L15" s="4" t="str">
        <f>"000131"</f>
        <v>000131</v>
      </c>
      <c r="M15" s="3">
        <v>42612</v>
      </c>
      <c r="N15" s="4">
        <v>16</v>
      </c>
      <c r="O15" s="4" t="str">
        <f>"001446"</f>
        <v>001446</v>
      </c>
      <c r="P15" s="3">
        <v>43236</v>
      </c>
      <c r="Q15" s="6">
        <v>49.044649999999997</v>
      </c>
      <c r="R15" s="6">
        <v>7.3137999999999996</v>
      </c>
      <c r="S15" s="6">
        <v>41.730849999999997</v>
      </c>
      <c r="T15" s="4">
        <v>52</v>
      </c>
      <c r="U15" s="3">
        <v>43238</v>
      </c>
      <c r="V15" s="4">
        <v>9845183166</v>
      </c>
      <c r="W15" s="5" t="s">
        <v>39</v>
      </c>
      <c r="X15" s="4" t="s">
        <v>52</v>
      </c>
      <c r="Y15" s="5" t="s">
        <v>53</v>
      </c>
      <c r="Z15" s="4" t="s">
        <v>62</v>
      </c>
      <c r="AA15" s="5" t="s">
        <v>63</v>
      </c>
      <c r="AB15" s="6">
        <v>0.49044649999999995</v>
      </c>
      <c r="AD15" s="7"/>
      <c r="AF15" s="7"/>
      <c r="AG15" s="7"/>
    </row>
    <row r="16" spans="1:33" x14ac:dyDescent="0.2">
      <c r="A16" s="11">
        <v>1703</v>
      </c>
      <c r="B16" s="12" t="s">
        <v>42</v>
      </c>
      <c r="C16" s="12">
        <v>43252</v>
      </c>
      <c r="D16" s="4">
        <v>196</v>
      </c>
      <c r="E16" s="5" t="s">
        <v>65</v>
      </c>
      <c r="F16" s="4" t="s">
        <v>99</v>
      </c>
      <c r="G16" s="5" t="s">
        <v>100</v>
      </c>
      <c r="H16" s="4" t="str">
        <f>"000138"</f>
        <v>000138</v>
      </c>
      <c r="I16" s="3">
        <v>42826</v>
      </c>
      <c r="J16" s="4" t="str">
        <f>"000093"</f>
        <v>000093</v>
      </c>
      <c r="K16" s="3">
        <v>42734</v>
      </c>
      <c r="L16" s="4" t="str">
        <f>"000241"</f>
        <v>000241</v>
      </c>
      <c r="M16" s="3">
        <v>42737</v>
      </c>
      <c r="N16" s="4">
        <v>17</v>
      </c>
      <c r="O16" s="4" t="str">
        <f>"001869"</f>
        <v>001869</v>
      </c>
      <c r="P16" s="3">
        <v>43245</v>
      </c>
      <c r="Q16" s="6">
        <v>48.71</v>
      </c>
      <c r="R16" s="6">
        <v>7.8574000000000002</v>
      </c>
      <c r="S16" s="6">
        <v>40.852600000000002</v>
      </c>
      <c r="T16" s="4">
        <v>65</v>
      </c>
      <c r="U16" s="3">
        <v>43252</v>
      </c>
      <c r="V16" s="4">
        <v>9900218893</v>
      </c>
      <c r="W16" s="5" t="s">
        <v>39</v>
      </c>
      <c r="X16" s="4" t="s">
        <v>52</v>
      </c>
      <c r="Y16" s="5" t="s">
        <v>53</v>
      </c>
      <c r="Z16" s="4" t="s">
        <v>62</v>
      </c>
      <c r="AA16" s="5" t="s">
        <v>63</v>
      </c>
      <c r="AB16" s="6">
        <v>0.48710000000000003</v>
      </c>
      <c r="AD16" s="7"/>
      <c r="AF16" s="7"/>
      <c r="AG16" s="7"/>
    </row>
    <row r="17" spans="1:33" x14ac:dyDescent="0.2">
      <c r="A17" s="11">
        <v>1941</v>
      </c>
      <c r="B17" s="12" t="s">
        <v>42</v>
      </c>
      <c r="C17" s="12">
        <v>43257</v>
      </c>
      <c r="D17" s="4">
        <v>196</v>
      </c>
      <c r="E17" s="5" t="s">
        <v>65</v>
      </c>
      <c r="F17" s="4" t="s">
        <v>101</v>
      </c>
      <c r="G17" s="5" t="s">
        <v>102</v>
      </c>
      <c r="H17" s="4" t="str">
        <f>"000196"</f>
        <v>000196</v>
      </c>
      <c r="I17" s="3">
        <v>42037</v>
      </c>
      <c r="J17" s="4" t="str">
        <f>"000053"</f>
        <v>000053</v>
      </c>
      <c r="K17" s="3">
        <v>42570</v>
      </c>
      <c r="L17" s="4" t="str">
        <f>"000168"</f>
        <v>000168</v>
      </c>
      <c r="M17" s="3">
        <v>42627</v>
      </c>
      <c r="N17" s="4">
        <v>14</v>
      </c>
      <c r="O17" s="4" t="str">
        <f>"002161"</f>
        <v>002161</v>
      </c>
      <c r="P17" s="3">
        <v>43255</v>
      </c>
      <c r="Q17" s="6">
        <v>14.805400000000001</v>
      </c>
      <c r="R17" s="6">
        <v>2.2587999999999999</v>
      </c>
      <c r="S17" s="6">
        <v>12.5466</v>
      </c>
      <c r="T17" s="4">
        <v>71</v>
      </c>
      <c r="U17" s="3">
        <v>43257</v>
      </c>
      <c r="V17" s="4">
        <v>9845183166</v>
      </c>
      <c r="W17" s="5" t="s">
        <v>39</v>
      </c>
      <c r="X17" s="4" t="s">
        <v>50</v>
      </c>
      <c r="Y17" s="5" t="s">
        <v>51</v>
      </c>
      <c r="Z17" s="4" t="s">
        <v>62</v>
      </c>
      <c r="AA17" s="5" t="s">
        <v>63</v>
      </c>
      <c r="AB17" s="6">
        <v>0.14805400000000002</v>
      </c>
      <c r="AD17" s="7"/>
      <c r="AF17" s="7"/>
      <c r="AG17" s="7"/>
    </row>
    <row r="18" spans="1:33" x14ac:dyDescent="0.2">
      <c r="A18" s="11">
        <v>2632</v>
      </c>
      <c r="B18" s="12" t="s">
        <v>42</v>
      </c>
      <c r="C18" s="12">
        <v>43274</v>
      </c>
      <c r="D18" s="4">
        <v>196</v>
      </c>
      <c r="E18" s="5" t="s">
        <v>65</v>
      </c>
      <c r="F18" s="4" t="s">
        <v>103</v>
      </c>
      <c r="G18" s="5" t="s">
        <v>104</v>
      </c>
      <c r="H18" s="4" t="str">
        <f>"000032"</f>
        <v>000032</v>
      </c>
      <c r="I18" s="3">
        <v>42506</v>
      </c>
      <c r="J18" s="4" t="str">
        <f>"000044"</f>
        <v>000044</v>
      </c>
      <c r="K18" s="3">
        <v>42566</v>
      </c>
      <c r="L18" s="4" t="str">
        <f>"000097"</f>
        <v>000097</v>
      </c>
      <c r="M18" s="3">
        <v>42598</v>
      </c>
      <c r="N18" s="4">
        <v>16</v>
      </c>
      <c r="O18" s="4" t="str">
        <f>"002884"</f>
        <v>002884</v>
      </c>
      <c r="P18" s="3">
        <v>43273</v>
      </c>
      <c r="Q18" s="6">
        <v>52.11</v>
      </c>
      <c r="R18" s="6">
        <v>7.3746</v>
      </c>
      <c r="S18" s="6">
        <v>44.735399999999998</v>
      </c>
      <c r="T18" s="4">
        <v>99</v>
      </c>
      <c r="U18" s="3">
        <v>43274</v>
      </c>
      <c r="V18" s="4">
        <v>9845183166</v>
      </c>
      <c r="W18" s="5" t="s">
        <v>105</v>
      </c>
      <c r="X18" s="4" t="s">
        <v>46</v>
      </c>
      <c r="Y18" s="5" t="s">
        <v>47</v>
      </c>
      <c r="Z18" s="4" t="s">
        <v>62</v>
      </c>
      <c r="AA18" s="5" t="s">
        <v>63</v>
      </c>
      <c r="AB18" s="6">
        <v>0.52110000000000001</v>
      </c>
      <c r="AD18" s="7"/>
      <c r="AF18" s="7"/>
      <c r="AG18" s="7"/>
    </row>
    <row r="19" spans="1:33" x14ac:dyDescent="0.2">
      <c r="A19" s="11">
        <v>2633</v>
      </c>
      <c r="B19" s="12" t="s">
        <v>42</v>
      </c>
      <c r="C19" s="12">
        <v>43274</v>
      </c>
      <c r="D19" s="4">
        <v>196</v>
      </c>
      <c r="E19" s="5" t="s">
        <v>65</v>
      </c>
      <c r="F19" s="4" t="s">
        <v>106</v>
      </c>
      <c r="G19" s="5" t="s">
        <v>107</v>
      </c>
      <c r="H19" s="4" t="str">
        <f>"000020"</f>
        <v>000020</v>
      </c>
      <c r="I19" s="3">
        <v>42495</v>
      </c>
      <c r="J19" s="4" t="str">
        <f>"000046"</f>
        <v>000046</v>
      </c>
      <c r="K19" s="3">
        <v>42566</v>
      </c>
      <c r="L19" s="4" t="str">
        <f>"000098"</f>
        <v>000098</v>
      </c>
      <c r="M19" s="3">
        <v>42598</v>
      </c>
      <c r="N19" s="4">
        <v>16</v>
      </c>
      <c r="O19" s="4" t="str">
        <f>"002885"</f>
        <v>002885</v>
      </c>
      <c r="P19" s="3">
        <v>43273</v>
      </c>
      <c r="Q19" s="6">
        <v>52.036700000000003</v>
      </c>
      <c r="R19" s="6">
        <v>7.3677999999999999</v>
      </c>
      <c r="S19" s="6">
        <v>44.668900000000001</v>
      </c>
      <c r="T19" s="4">
        <v>99</v>
      </c>
      <c r="U19" s="3">
        <v>43274</v>
      </c>
      <c r="V19" s="4">
        <v>9845183166</v>
      </c>
      <c r="W19" s="5" t="s">
        <v>105</v>
      </c>
      <c r="X19" s="4" t="s">
        <v>46</v>
      </c>
      <c r="Y19" s="5" t="s">
        <v>47</v>
      </c>
      <c r="Z19" s="4" t="s">
        <v>62</v>
      </c>
      <c r="AA19" s="5" t="s">
        <v>63</v>
      </c>
      <c r="AB19" s="6">
        <v>0.52036700000000002</v>
      </c>
      <c r="AD19" s="7"/>
      <c r="AF19" s="7"/>
      <c r="AG19" s="7"/>
    </row>
    <row r="20" spans="1:33" x14ac:dyDescent="0.2">
      <c r="A20" s="11">
        <v>2757</v>
      </c>
      <c r="B20" s="12" t="s">
        <v>42</v>
      </c>
      <c r="C20" s="12">
        <v>43278</v>
      </c>
      <c r="D20" s="4">
        <v>196</v>
      </c>
      <c r="E20" s="5" t="s">
        <v>65</v>
      </c>
      <c r="F20" s="4" t="s">
        <v>108</v>
      </c>
      <c r="G20" s="5" t="s">
        <v>109</v>
      </c>
      <c r="H20" s="4" t="str">
        <f>"000230"</f>
        <v>000230</v>
      </c>
      <c r="I20" s="3">
        <v>42418</v>
      </c>
      <c r="J20" s="4" t="str">
        <f>"000016"</f>
        <v>000016</v>
      </c>
      <c r="K20" s="3">
        <v>42515</v>
      </c>
      <c r="L20" s="4" t="str">
        <f>"000025"</f>
        <v>000025</v>
      </c>
      <c r="M20" s="3">
        <v>42521</v>
      </c>
      <c r="N20" s="4">
        <v>16</v>
      </c>
      <c r="O20" s="4" t="str">
        <f>"002923"</f>
        <v>002923</v>
      </c>
      <c r="P20" s="3">
        <v>43276</v>
      </c>
      <c r="Q20" s="6">
        <v>20.90719</v>
      </c>
      <c r="R20" s="6">
        <v>2.8751000000000002</v>
      </c>
      <c r="S20" s="6">
        <v>18.03209</v>
      </c>
      <c r="T20" s="4">
        <v>103</v>
      </c>
      <c r="U20" s="3">
        <v>43278</v>
      </c>
      <c r="V20" s="4">
        <v>9632229990</v>
      </c>
      <c r="W20" s="5" t="s">
        <v>71</v>
      </c>
      <c r="X20" s="4" t="s">
        <v>30</v>
      </c>
      <c r="Y20" s="5" t="s">
        <v>31</v>
      </c>
      <c r="Z20" s="4" t="s">
        <v>62</v>
      </c>
      <c r="AA20" s="5" t="s">
        <v>63</v>
      </c>
      <c r="AB20" s="6">
        <v>0.2090719</v>
      </c>
      <c r="AD20" s="7"/>
      <c r="AF20" s="7"/>
      <c r="AG20" s="7"/>
    </row>
    <row r="21" spans="1:33" x14ac:dyDescent="0.2">
      <c r="A21" s="11">
        <v>2758</v>
      </c>
      <c r="B21" s="12" t="s">
        <v>42</v>
      </c>
      <c r="C21" s="12">
        <v>43278</v>
      </c>
      <c r="D21" s="4">
        <v>196</v>
      </c>
      <c r="E21" s="5" t="s">
        <v>65</v>
      </c>
      <c r="F21" s="4" t="s">
        <v>110</v>
      </c>
      <c r="G21" s="5" t="s">
        <v>111</v>
      </c>
      <c r="H21" s="4" t="str">
        <f>"000059"</f>
        <v>000059</v>
      </c>
      <c r="I21" s="3">
        <v>42515</v>
      </c>
      <c r="J21" s="4" t="str">
        <f>"000041"</f>
        <v>000041</v>
      </c>
      <c r="K21" s="3">
        <v>42564</v>
      </c>
      <c r="L21" s="4" t="str">
        <f>"000087"</f>
        <v>000087</v>
      </c>
      <c r="M21" s="3">
        <v>42581</v>
      </c>
      <c r="N21" s="4">
        <v>16</v>
      </c>
      <c r="O21" s="4" t="str">
        <f>"003038"</f>
        <v>003038</v>
      </c>
      <c r="P21" s="3">
        <v>43277</v>
      </c>
      <c r="Q21" s="6">
        <v>52.16</v>
      </c>
      <c r="R21" s="6">
        <v>7.6829999999999998</v>
      </c>
      <c r="S21" s="6">
        <v>44.476999999999997</v>
      </c>
      <c r="T21" s="4">
        <v>103</v>
      </c>
      <c r="U21" s="3">
        <v>43278</v>
      </c>
      <c r="V21" s="4">
        <v>9845966999</v>
      </c>
      <c r="W21" s="5" t="s">
        <v>112</v>
      </c>
      <c r="X21" s="4" t="s">
        <v>46</v>
      </c>
      <c r="Y21" s="5" t="s">
        <v>47</v>
      </c>
      <c r="Z21" s="4" t="s">
        <v>62</v>
      </c>
      <c r="AA21" s="5" t="s">
        <v>63</v>
      </c>
      <c r="AB21" s="6">
        <v>0.52159999999999995</v>
      </c>
      <c r="AD21" s="7"/>
      <c r="AF21" s="7"/>
      <c r="AG21" s="7"/>
    </row>
    <row r="22" spans="1:33" x14ac:dyDescent="0.2">
      <c r="A22" s="11">
        <v>2759</v>
      </c>
      <c r="B22" s="12" t="s">
        <v>42</v>
      </c>
      <c r="C22" s="12">
        <v>43278</v>
      </c>
      <c r="D22" s="4">
        <v>196</v>
      </c>
      <c r="E22" s="5" t="s">
        <v>65</v>
      </c>
      <c r="F22" s="4" t="s">
        <v>113</v>
      </c>
      <c r="G22" s="5" t="s">
        <v>114</v>
      </c>
      <c r="H22" s="4" t="str">
        <f>"000057"</f>
        <v>000057</v>
      </c>
      <c r="I22" s="3">
        <v>42515</v>
      </c>
      <c r="J22" s="4" t="str">
        <f>"000042"</f>
        <v>000042</v>
      </c>
      <c r="K22" s="3">
        <v>42564</v>
      </c>
      <c r="L22" s="4" t="str">
        <f>"000088"</f>
        <v>000088</v>
      </c>
      <c r="M22" s="3">
        <v>42581</v>
      </c>
      <c r="N22" s="4">
        <v>16</v>
      </c>
      <c r="O22" s="4" t="str">
        <f>"003041"</f>
        <v>003041</v>
      </c>
      <c r="P22" s="3">
        <v>43277</v>
      </c>
      <c r="Q22" s="6">
        <v>52.12</v>
      </c>
      <c r="R22" s="6">
        <v>7.681</v>
      </c>
      <c r="S22" s="6">
        <v>44.439</v>
      </c>
      <c r="T22" s="4">
        <v>103</v>
      </c>
      <c r="U22" s="3">
        <v>43278</v>
      </c>
      <c r="V22" s="4">
        <v>9845966999</v>
      </c>
      <c r="W22" s="5" t="s">
        <v>115</v>
      </c>
      <c r="X22" s="4" t="s">
        <v>46</v>
      </c>
      <c r="Y22" s="5" t="s">
        <v>47</v>
      </c>
      <c r="Z22" s="4" t="s">
        <v>62</v>
      </c>
      <c r="AA22" s="5" t="s">
        <v>63</v>
      </c>
      <c r="AB22" s="6">
        <v>0.5212</v>
      </c>
      <c r="AD22" s="7"/>
      <c r="AF22" s="7"/>
      <c r="AG22" s="7"/>
    </row>
    <row r="23" spans="1:33" x14ac:dyDescent="0.2">
      <c r="A23" s="11">
        <v>3208</v>
      </c>
      <c r="B23" s="12" t="s">
        <v>32</v>
      </c>
      <c r="C23" s="12">
        <v>43290</v>
      </c>
      <c r="D23" s="4">
        <v>196</v>
      </c>
      <c r="E23" s="5" t="s">
        <v>65</v>
      </c>
      <c r="F23" s="4" t="s">
        <v>116</v>
      </c>
      <c r="G23" s="5" t="s">
        <v>117</v>
      </c>
      <c r="H23" s="4" t="str">
        <f>"000554"</f>
        <v>000554</v>
      </c>
      <c r="I23" s="3">
        <v>41701</v>
      </c>
      <c r="J23" s="4" t="str">
        <f>"000069"</f>
        <v>000069</v>
      </c>
      <c r="K23" s="3">
        <v>42633</v>
      </c>
      <c r="L23" s="4" t="str">
        <f>"000179"</f>
        <v>000179</v>
      </c>
      <c r="M23" s="3">
        <v>42633</v>
      </c>
      <c r="N23" s="4">
        <v>15</v>
      </c>
      <c r="O23" s="4" t="str">
        <f>"003427"</f>
        <v>003427</v>
      </c>
      <c r="P23" s="3">
        <v>43288</v>
      </c>
      <c r="Q23" s="6">
        <v>2.2231200000000002</v>
      </c>
      <c r="R23" s="6">
        <v>4.4499999999999998E-2</v>
      </c>
      <c r="S23" s="6">
        <v>2.17862</v>
      </c>
      <c r="T23" s="4">
        <v>117</v>
      </c>
      <c r="U23" s="3">
        <v>43290</v>
      </c>
      <c r="V23" s="4">
        <v>9342307846</v>
      </c>
      <c r="W23" s="5" t="s">
        <v>118</v>
      </c>
      <c r="X23" s="4" t="s">
        <v>30</v>
      </c>
      <c r="Y23" s="5" t="s">
        <v>31</v>
      </c>
      <c r="Z23" s="4" t="s">
        <v>62</v>
      </c>
      <c r="AA23" s="5" t="s">
        <v>63</v>
      </c>
      <c r="AB23" s="6">
        <v>2.2231200000000003E-2</v>
      </c>
      <c r="AD23" s="7"/>
      <c r="AF23" s="7"/>
      <c r="AG23" s="7"/>
    </row>
    <row r="24" spans="1:33" x14ac:dyDescent="0.2">
      <c r="A24" s="11">
        <v>3355</v>
      </c>
      <c r="B24" s="12" t="s">
        <v>32</v>
      </c>
      <c r="C24" s="12">
        <v>43297</v>
      </c>
      <c r="D24" s="4">
        <v>196</v>
      </c>
      <c r="E24" s="5" t="s">
        <v>65</v>
      </c>
      <c r="F24" s="4" t="s">
        <v>119</v>
      </c>
      <c r="G24" s="5" t="s">
        <v>120</v>
      </c>
      <c r="H24" s="4" t="str">
        <f>"000120"</f>
        <v>000120</v>
      </c>
      <c r="I24" s="3">
        <v>42633</v>
      </c>
      <c r="J24" s="4" t="str">
        <f>"000077"</f>
        <v>000077</v>
      </c>
      <c r="K24" s="3">
        <v>42692</v>
      </c>
      <c r="L24" s="4" t="str">
        <f>"000212"</f>
        <v>000212</v>
      </c>
      <c r="M24" s="3">
        <v>42699</v>
      </c>
      <c r="N24" s="4">
        <v>16</v>
      </c>
      <c r="O24" s="4" t="str">
        <f>"003501"</f>
        <v>003501</v>
      </c>
      <c r="P24" s="3">
        <v>43291</v>
      </c>
      <c r="Q24" s="6">
        <v>38.866999999999997</v>
      </c>
      <c r="R24" s="6">
        <v>5.7009999999999996</v>
      </c>
      <c r="S24" s="6">
        <v>33.165999999999997</v>
      </c>
      <c r="T24" s="4">
        <v>125</v>
      </c>
      <c r="U24" s="3">
        <v>43297</v>
      </c>
      <c r="V24" s="4">
        <v>9845183166</v>
      </c>
      <c r="W24" s="5" t="s">
        <v>121</v>
      </c>
      <c r="X24" s="4" t="s">
        <v>54</v>
      </c>
      <c r="Y24" s="5" t="s">
        <v>55</v>
      </c>
      <c r="Z24" s="4" t="s">
        <v>62</v>
      </c>
      <c r="AA24" s="5" t="s">
        <v>63</v>
      </c>
      <c r="AB24" s="6">
        <v>0.38866999999999996</v>
      </c>
      <c r="AD24" s="7"/>
      <c r="AF24" s="7"/>
      <c r="AG24" s="7"/>
    </row>
    <row r="25" spans="1:33" x14ac:dyDescent="0.2">
      <c r="A25" s="11">
        <v>3633</v>
      </c>
      <c r="B25" s="12" t="s">
        <v>32</v>
      </c>
      <c r="C25" s="12">
        <v>43299</v>
      </c>
      <c r="D25" s="4">
        <v>196</v>
      </c>
      <c r="E25" s="5" t="s">
        <v>65</v>
      </c>
      <c r="F25" s="4" t="s">
        <v>122</v>
      </c>
      <c r="G25" s="5" t="s">
        <v>123</v>
      </c>
      <c r="H25" s="4" t="str">
        <f>"000006"</f>
        <v>000006</v>
      </c>
      <c r="I25" s="3">
        <v>42929</v>
      </c>
      <c r="J25" s="4" t="str">
        <f>"000047"</f>
        <v>000047</v>
      </c>
      <c r="K25" s="3">
        <v>43112</v>
      </c>
      <c r="L25" s="4" t="str">
        <f>"000052"</f>
        <v>000052</v>
      </c>
      <c r="M25" s="3">
        <v>43112</v>
      </c>
      <c r="N25" s="4">
        <v>16</v>
      </c>
      <c r="O25" s="4" t="str">
        <f>"003756"</f>
        <v>003756</v>
      </c>
      <c r="P25" s="3">
        <v>43294</v>
      </c>
      <c r="Q25" s="6">
        <v>11.59563</v>
      </c>
      <c r="R25" s="6">
        <v>1.5720499999999999</v>
      </c>
      <c r="S25" s="6">
        <v>10.023580000000001</v>
      </c>
      <c r="T25" s="4">
        <v>127</v>
      </c>
      <c r="U25" s="3">
        <v>43299</v>
      </c>
      <c r="V25" s="4">
        <v>9632977771</v>
      </c>
      <c r="W25" s="5" t="s">
        <v>64</v>
      </c>
      <c r="X25" s="4" t="s">
        <v>33</v>
      </c>
      <c r="Y25" s="5" t="s">
        <v>34</v>
      </c>
      <c r="Z25" s="4" t="s">
        <v>58</v>
      </c>
      <c r="AA25" s="5" t="s">
        <v>59</v>
      </c>
      <c r="AB25" s="6">
        <v>0.1159563</v>
      </c>
      <c r="AD25" s="7"/>
      <c r="AF25" s="7"/>
      <c r="AG25" s="7"/>
    </row>
    <row r="26" spans="1:33" x14ac:dyDescent="0.2">
      <c r="A26" s="11">
        <v>4036</v>
      </c>
      <c r="B26" s="12" t="s">
        <v>32</v>
      </c>
      <c r="C26" s="12">
        <v>43307</v>
      </c>
      <c r="D26" s="4">
        <v>196</v>
      </c>
      <c r="E26" s="5" t="s">
        <v>65</v>
      </c>
      <c r="F26" s="4" t="s">
        <v>124</v>
      </c>
      <c r="G26" s="5" t="s">
        <v>125</v>
      </c>
      <c r="H26" s="4" t="str">
        <f>"000081"</f>
        <v>000081</v>
      </c>
      <c r="I26" s="3">
        <v>42811</v>
      </c>
      <c r="J26" s="4" t="str">
        <f>"000001"</f>
        <v>000001</v>
      </c>
      <c r="K26" s="3">
        <v>42853</v>
      </c>
      <c r="L26" s="4" t="str">
        <f>"000001"</f>
        <v>000001</v>
      </c>
      <c r="M26" s="3">
        <v>42853</v>
      </c>
      <c r="N26" s="4">
        <v>17</v>
      </c>
      <c r="O26" s="4" t="str">
        <f>"004047"</f>
        <v>004047</v>
      </c>
      <c r="P26" s="3">
        <v>43301</v>
      </c>
      <c r="Q26" s="6">
        <v>19.974630000000001</v>
      </c>
      <c r="R26" s="6">
        <v>2.5442</v>
      </c>
      <c r="S26" s="6">
        <v>17.430430000000001</v>
      </c>
      <c r="T26" s="4">
        <v>142</v>
      </c>
      <c r="U26" s="3">
        <v>43307</v>
      </c>
      <c r="V26" s="4">
        <v>9999999999</v>
      </c>
      <c r="W26" s="5" t="s">
        <v>39</v>
      </c>
      <c r="X26" s="4" t="s">
        <v>48</v>
      </c>
      <c r="Y26" s="5" t="s">
        <v>49</v>
      </c>
      <c r="Z26" s="4" t="s">
        <v>56</v>
      </c>
      <c r="AA26" s="5" t="s">
        <v>57</v>
      </c>
      <c r="AB26" s="6">
        <v>0.19974630000000002</v>
      </c>
      <c r="AD26" s="7"/>
      <c r="AF26" s="7"/>
      <c r="AG26" s="7"/>
    </row>
    <row r="27" spans="1:33" x14ac:dyDescent="0.2">
      <c r="A27" s="11">
        <v>4620</v>
      </c>
      <c r="B27" s="12" t="s">
        <v>29</v>
      </c>
      <c r="C27" s="12">
        <v>43318</v>
      </c>
      <c r="D27" s="4">
        <v>196</v>
      </c>
      <c r="E27" s="5" t="s">
        <v>65</v>
      </c>
      <c r="F27" s="4" t="s">
        <v>126</v>
      </c>
      <c r="G27" s="5" t="s">
        <v>127</v>
      </c>
      <c r="H27" s="4" t="str">
        <f>"000068"</f>
        <v>000068</v>
      </c>
      <c r="I27" s="3">
        <v>42803</v>
      </c>
      <c r="J27" s="4" t="str">
        <f>"000011"</f>
        <v>000011</v>
      </c>
      <c r="K27" s="3">
        <v>43245</v>
      </c>
      <c r="L27" s="4" t="str">
        <f>"000008"</f>
        <v>000008</v>
      </c>
      <c r="M27" s="3">
        <v>43245</v>
      </c>
      <c r="N27" s="4">
        <v>16</v>
      </c>
      <c r="O27" s="4" t="str">
        <f>"004887"</f>
        <v>004887</v>
      </c>
      <c r="P27" s="3">
        <v>43316</v>
      </c>
      <c r="Q27" s="6">
        <v>111.03475</v>
      </c>
      <c r="R27" s="6">
        <v>3.8669699999999998</v>
      </c>
      <c r="S27" s="6">
        <v>107.16777999999999</v>
      </c>
      <c r="T27" s="4">
        <v>157</v>
      </c>
      <c r="U27" s="3">
        <v>43318</v>
      </c>
      <c r="V27" s="4">
        <v>9845936816</v>
      </c>
      <c r="W27" s="5" t="s">
        <v>128</v>
      </c>
      <c r="X27" s="4" t="s">
        <v>129</v>
      </c>
      <c r="Y27" s="5" t="s">
        <v>130</v>
      </c>
      <c r="Z27" s="4" t="s">
        <v>56</v>
      </c>
      <c r="AA27" s="5" t="s">
        <v>57</v>
      </c>
      <c r="AB27" s="6">
        <v>1.1103475</v>
      </c>
      <c r="AD27" s="7"/>
      <c r="AF27" s="7"/>
      <c r="AG27" s="7"/>
    </row>
    <row r="28" spans="1:33" x14ac:dyDescent="0.2">
      <c r="A28" s="11">
        <v>4697</v>
      </c>
      <c r="B28" s="12" t="s">
        <v>29</v>
      </c>
      <c r="C28" s="12">
        <v>43325</v>
      </c>
      <c r="D28" s="4">
        <v>196</v>
      </c>
      <c r="E28" s="5" t="s">
        <v>65</v>
      </c>
      <c r="F28" s="4" t="s">
        <v>131</v>
      </c>
      <c r="G28" s="5" t="s">
        <v>132</v>
      </c>
      <c r="H28" s="4" t="str">
        <f>"000426"</f>
        <v>000426</v>
      </c>
      <c r="I28" s="3">
        <v>43171</v>
      </c>
      <c r="J28" s="4" t="str">
        <f>"000081"</f>
        <v>000081</v>
      </c>
      <c r="K28" s="3">
        <v>43288</v>
      </c>
      <c r="L28" s="4" t="str">
        <f>"000177"</f>
        <v>000177</v>
      </c>
      <c r="M28" s="3">
        <v>43288</v>
      </c>
      <c r="N28" s="4">
        <v>18</v>
      </c>
      <c r="O28" s="4" t="str">
        <f>"004292"</f>
        <v>004292</v>
      </c>
      <c r="P28" s="3">
        <v>43306</v>
      </c>
      <c r="Q28" s="6">
        <v>24.98</v>
      </c>
      <c r="R28" s="6">
        <v>3.9131</v>
      </c>
      <c r="S28" s="6">
        <v>21.0669</v>
      </c>
      <c r="T28" s="4">
        <v>166</v>
      </c>
      <c r="U28" s="3">
        <v>43325</v>
      </c>
      <c r="V28" s="4">
        <v>9845183166</v>
      </c>
      <c r="W28" s="5" t="s">
        <v>45</v>
      </c>
      <c r="X28" s="4" t="s">
        <v>38</v>
      </c>
      <c r="Y28" s="5" t="s">
        <v>37</v>
      </c>
      <c r="Z28" s="4" t="s">
        <v>62</v>
      </c>
      <c r="AA28" s="5" t="s">
        <v>63</v>
      </c>
      <c r="AB28" s="6">
        <v>0.24979999999999999</v>
      </c>
      <c r="AD28" s="7"/>
      <c r="AF28" s="7"/>
      <c r="AG28" s="7"/>
    </row>
    <row r="29" spans="1:33" x14ac:dyDescent="0.2">
      <c r="A29" s="11">
        <v>4698</v>
      </c>
      <c r="B29" s="12" t="s">
        <v>29</v>
      </c>
      <c r="C29" s="12">
        <v>43325</v>
      </c>
      <c r="D29" s="4">
        <v>196</v>
      </c>
      <c r="E29" s="5" t="s">
        <v>65</v>
      </c>
      <c r="F29" s="4" t="s">
        <v>133</v>
      </c>
      <c r="G29" s="5" t="s">
        <v>134</v>
      </c>
      <c r="H29" s="4" t="str">
        <f>"000425"</f>
        <v>000425</v>
      </c>
      <c r="I29" s="3">
        <v>43171</v>
      </c>
      <c r="J29" s="4" t="str">
        <f>"000079"</f>
        <v>000079</v>
      </c>
      <c r="K29" s="3">
        <v>43288</v>
      </c>
      <c r="L29" s="4" t="str">
        <f>"000175"</f>
        <v>000175</v>
      </c>
      <c r="M29" s="3">
        <v>43288</v>
      </c>
      <c r="N29" s="4">
        <v>18</v>
      </c>
      <c r="O29" s="4" t="str">
        <f>"004293"</f>
        <v>004293</v>
      </c>
      <c r="P29" s="3">
        <v>43306</v>
      </c>
      <c r="Q29" s="6">
        <v>49.94</v>
      </c>
      <c r="R29" s="6">
        <v>7.2843</v>
      </c>
      <c r="S29" s="6">
        <v>42.655700000000003</v>
      </c>
      <c r="T29" s="4">
        <v>166</v>
      </c>
      <c r="U29" s="3">
        <v>43325</v>
      </c>
      <c r="V29" s="4">
        <v>9845183166</v>
      </c>
      <c r="W29" s="5" t="s">
        <v>45</v>
      </c>
      <c r="X29" s="4" t="s">
        <v>38</v>
      </c>
      <c r="Y29" s="5" t="s">
        <v>37</v>
      </c>
      <c r="Z29" s="4" t="s">
        <v>62</v>
      </c>
      <c r="AA29" s="5" t="s">
        <v>63</v>
      </c>
      <c r="AB29" s="6">
        <v>0.49939999999999996</v>
      </c>
      <c r="AD29" s="7"/>
      <c r="AF29" s="7"/>
      <c r="AG29" s="7"/>
    </row>
    <row r="30" spans="1:33" x14ac:dyDescent="0.2">
      <c r="A30" s="11">
        <v>4699</v>
      </c>
      <c r="B30" s="12" t="s">
        <v>29</v>
      </c>
      <c r="C30" s="12">
        <v>43325</v>
      </c>
      <c r="D30" s="4">
        <v>196</v>
      </c>
      <c r="E30" s="5" t="s">
        <v>65</v>
      </c>
      <c r="F30" s="4" t="s">
        <v>135</v>
      </c>
      <c r="G30" s="5" t="s">
        <v>136</v>
      </c>
      <c r="H30" s="4" t="str">
        <f>"000427"</f>
        <v>000427</v>
      </c>
      <c r="I30" s="3">
        <v>43171</v>
      </c>
      <c r="J30" s="4" t="str">
        <f>"000080"</f>
        <v>000080</v>
      </c>
      <c r="K30" s="3">
        <v>43288</v>
      </c>
      <c r="L30" s="4" t="str">
        <f>"000176"</f>
        <v>000176</v>
      </c>
      <c r="M30" s="3">
        <v>43288</v>
      </c>
      <c r="N30" s="4">
        <v>18</v>
      </c>
      <c r="O30" s="4" t="str">
        <f>"004295"</f>
        <v>004295</v>
      </c>
      <c r="P30" s="3">
        <v>43306</v>
      </c>
      <c r="Q30" s="6">
        <v>49.87</v>
      </c>
      <c r="R30" s="6">
        <v>7.3701999999999996</v>
      </c>
      <c r="S30" s="6">
        <v>42.4998</v>
      </c>
      <c r="T30" s="4">
        <v>166</v>
      </c>
      <c r="U30" s="3">
        <v>43325</v>
      </c>
      <c r="V30" s="4">
        <v>9845183166</v>
      </c>
      <c r="W30" s="5" t="s">
        <v>45</v>
      </c>
      <c r="X30" s="4" t="s">
        <v>38</v>
      </c>
      <c r="Y30" s="5" t="s">
        <v>37</v>
      </c>
      <c r="Z30" s="4" t="s">
        <v>62</v>
      </c>
      <c r="AA30" s="5" t="s">
        <v>63</v>
      </c>
      <c r="AB30" s="6">
        <v>0.49869999999999998</v>
      </c>
      <c r="AD30" s="7"/>
      <c r="AF30" s="7"/>
      <c r="AG30" s="7"/>
    </row>
    <row r="31" spans="1:33" x14ac:dyDescent="0.2">
      <c r="A31" s="11">
        <v>4908</v>
      </c>
      <c r="B31" s="12" t="s">
        <v>29</v>
      </c>
      <c r="C31" s="12">
        <v>43326</v>
      </c>
      <c r="D31" s="4">
        <v>196</v>
      </c>
      <c r="E31" s="5" t="s">
        <v>65</v>
      </c>
      <c r="F31" s="4" t="s">
        <v>137</v>
      </c>
      <c r="G31" s="5" t="s">
        <v>138</v>
      </c>
      <c r="H31" s="4" t="str">
        <f>"000193"</f>
        <v>000193</v>
      </c>
      <c r="I31" s="3">
        <v>42403</v>
      </c>
      <c r="J31" s="4" t="str">
        <f>"000101"</f>
        <v>000101</v>
      </c>
      <c r="K31" s="3">
        <v>42770</v>
      </c>
      <c r="L31" s="4" t="str">
        <f>"000248"</f>
        <v>000248</v>
      </c>
      <c r="M31" s="3">
        <v>42770</v>
      </c>
      <c r="N31" s="4">
        <v>16</v>
      </c>
      <c r="O31" s="4" t="str">
        <f>"005004"</f>
        <v>005004</v>
      </c>
      <c r="P31" s="3">
        <v>43320</v>
      </c>
      <c r="Q31" s="6">
        <v>19.97</v>
      </c>
      <c r="R31" s="6">
        <v>2.528</v>
      </c>
      <c r="S31" s="6">
        <v>17.442</v>
      </c>
      <c r="T31" s="4">
        <v>170</v>
      </c>
      <c r="U31" s="3">
        <v>43326</v>
      </c>
      <c r="V31" s="4">
        <v>9845131166</v>
      </c>
      <c r="W31" s="5" t="s">
        <v>139</v>
      </c>
      <c r="X31" s="4" t="s">
        <v>30</v>
      </c>
      <c r="Y31" s="5" t="s">
        <v>31</v>
      </c>
      <c r="Z31" s="4" t="s">
        <v>62</v>
      </c>
      <c r="AA31" s="5" t="s">
        <v>63</v>
      </c>
      <c r="AB31" s="6">
        <v>0.19969999999999999</v>
      </c>
      <c r="AD31" s="7"/>
      <c r="AF31" s="7"/>
      <c r="AG31" s="7"/>
    </row>
    <row r="32" spans="1:33" x14ac:dyDescent="0.2">
      <c r="A32" s="11">
        <v>4909</v>
      </c>
      <c r="B32" s="12" t="s">
        <v>29</v>
      </c>
      <c r="C32" s="12">
        <v>43326</v>
      </c>
      <c r="D32" s="4">
        <v>196</v>
      </c>
      <c r="E32" s="5" t="s">
        <v>65</v>
      </c>
      <c r="F32" s="4" t="s">
        <v>140</v>
      </c>
      <c r="G32" s="5" t="s">
        <v>141</v>
      </c>
      <c r="H32" s="4" t="str">
        <f>"000054"</f>
        <v>000054</v>
      </c>
      <c r="I32" s="3">
        <v>42515</v>
      </c>
      <c r="J32" s="4" t="str">
        <f>"000099"</f>
        <v>000099</v>
      </c>
      <c r="K32" s="3">
        <v>42770</v>
      </c>
      <c r="L32" s="4" t="str">
        <f>"000247"</f>
        <v>000247</v>
      </c>
      <c r="M32" s="3">
        <v>42770</v>
      </c>
      <c r="N32" s="4">
        <v>16</v>
      </c>
      <c r="O32" s="4" t="str">
        <f>"005080"</f>
        <v>005080</v>
      </c>
      <c r="P32" s="3">
        <v>43322</v>
      </c>
      <c r="Q32" s="6">
        <v>26.11</v>
      </c>
      <c r="R32" s="6">
        <v>3.4159000000000002</v>
      </c>
      <c r="S32" s="6">
        <v>22.694099999999999</v>
      </c>
      <c r="T32" s="4">
        <v>170</v>
      </c>
      <c r="U32" s="3">
        <v>43326</v>
      </c>
      <c r="V32" s="4">
        <v>9845131166</v>
      </c>
      <c r="W32" s="5" t="s">
        <v>142</v>
      </c>
      <c r="X32" s="4" t="s">
        <v>41</v>
      </c>
      <c r="Y32" s="5" t="s">
        <v>40</v>
      </c>
      <c r="Z32" s="4" t="s">
        <v>62</v>
      </c>
      <c r="AA32" s="5" t="s">
        <v>63</v>
      </c>
      <c r="AB32" s="6">
        <v>0.2611</v>
      </c>
      <c r="AD32" s="7"/>
      <c r="AF32" s="7"/>
      <c r="AG32" s="7"/>
    </row>
    <row r="33" spans="1:33" x14ac:dyDescent="0.2">
      <c r="A33" s="11">
        <v>4910</v>
      </c>
      <c r="B33" s="12" t="s">
        <v>29</v>
      </c>
      <c r="C33" s="12">
        <v>43326</v>
      </c>
      <c r="D33" s="4">
        <v>196</v>
      </c>
      <c r="E33" s="5" t="s">
        <v>65</v>
      </c>
      <c r="F33" s="4" t="s">
        <v>143</v>
      </c>
      <c r="G33" s="5" t="s">
        <v>144</v>
      </c>
      <c r="H33" s="4" t="str">
        <f>"000062"</f>
        <v>000062</v>
      </c>
      <c r="I33" s="3">
        <v>42518</v>
      </c>
      <c r="J33" s="4" t="str">
        <f>"000097"</f>
        <v>000097</v>
      </c>
      <c r="K33" s="3">
        <v>42770</v>
      </c>
      <c r="L33" s="4" t="str">
        <f>"000249"</f>
        <v>000249</v>
      </c>
      <c r="M33" s="3">
        <v>42770</v>
      </c>
      <c r="N33" s="4">
        <v>15</v>
      </c>
      <c r="O33" s="4" t="str">
        <f>"005081"</f>
        <v>005081</v>
      </c>
      <c r="P33" s="3">
        <v>43322</v>
      </c>
      <c r="Q33" s="6">
        <v>20.87</v>
      </c>
      <c r="R33" s="6">
        <v>2.7242000000000002</v>
      </c>
      <c r="S33" s="6">
        <v>18.145800000000001</v>
      </c>
      <c r="T33" s="4">
        <v>170</v>
      </c>
      <c r="U33" s="3">
        <v>43326</v>
      </c>
      <c r="V33" s="4">
        <v>9845131166</v>
      </c>
      <c r="W33" s="5" t="s">
        <v>87</v>
      </c>
      <c r="X33" s="4" t="s">
        <v>41</v>
      </c>
      <c r="Y33" s="5" t="s">
        <v>40</v>
      </c>
      <c r="Z33" s="4" t="s">
        <v>62</v>
      </c>
      <c r="AA33" s="5" t="s">
        <v>63</v>
      </c>
      <c r="AB33" s="6">
        <v>0.2087</v>
      </c>
      <c r="AD33" s="7"/>
      <c r="AF33" s="7"/>
      <c r="AG33" s="7"/>
    </row>
    <row r="34" spans="1:33" x14ac:dyDescent="0.2">
      <c r="A34" s="11">
        <v>5362</v>
      </c>
      <c r="B34" s="12" t="s">
        <v>36</v>
      </c>
      <c r="C34" s="12">
        <v>43346</v>
      </c>
      <c r="D34" s="4">
        <v>196</v>
      </c>
      <c r="E34" s="5" t="s">
        <v>65</v>
      </c>
      <c r="F34" s="4" t="s">
        <v>145</v>
      </c>
      <c r="G34" s="5" t="s">
        <v>146</v>
      </c>
      <c r="H34" s="4" t="str">
        <f>"000242"</f>
        <v>000242</v>
      </c>
      <c r="I34" s="3">
        <v>42797</v>
      </c>
      <c r="J34" s="4" t="str">
        <f>"000048"</f>
        <v>000048</v>
      </c>
      <c r="K34" s="3">
        <v>42551</v>
      </c>
      <c r="L34" s="4" t="str">
        <f>"000103"</f>
        <v>000103</v>
      </c>
      <c r="M34" s="3">
        <v>42601</v>
      </c>
      <c r="N34" s="4">
        <v>12</v>
      </c>
      <c r="O34" s="4" t="str">
        <f>"005330"</f>
        <v>005330</v>
      </c>
      <c r="P34" s="3">
        <v>43333</v>
      </c>
      <c r="Q34" s="6">
        <v>67.245000000000005</v>
      </c>
      <c r="R34" s="6">
        <v>9.2871000000000006</v>
      </c>
      <c r="S34" s="6">
        <v>57.957900000000002</v>
      </c>
      <c r="T34" s="4">
        <v>193</v>
      </c>
      <c r="U34" s="3">
        <v>43346</v>
      </c>
      <c r="V34" s="4">
        <v>9845183166</v>
      </c>
      <c r="W34" s="5" t="s">
        <v>147</v>
      </c>
      <c r="X34" s="4" t="s">
        <v>50</v>
      </c>
      <c r="Y34" s="5" t="s">
        <v>51</v>
      </c>
      <c r="Z34" s="4" t="s">
        <v>62</v>
      </c>
      <c r="AA34" s="5" t="s">
        <v>63</v>
      </c>
      <c r="AB34" s="6">
        <f t="shared" ref="AB34:AB42" si="0">Q34/100</f>
        <v>0.67244999999999999</v>
      </c>
      <c r="AD34" s="7"/>
      <c r="AF34" s="7"/>
      <c r="AG34" s="7"/>
    </row>
    <row r="35" spans="1:33" x14ac:dyDescent="0.2">
      <c r="A35" s="11">
        <v>6665</v>
      </c>
      <c r="B35" s="12" t="s">
        <v>148</v>
      </c>
      <c r="C35" s="12">
        <v>43389</v>
      </c>
      <c r="D35" s="4">
        <v>196</v>
      </c>
      <c r="E35" s="5" t="s">
        <v>65</v>
      </c>
      <c r="F35" s="4" t="s">
        <v>149</v>
      </c>
      <c r="G35" s="5" t="s">
        <v>150</v>
      </c>
      <c r="H35" s="4" t="str">
        <f>"000a14"</f>
        <v>000a14</v>
      </c>
      <c r="I35" s="3">
        <v>42836</v>
      </c>
      <c r="J35" s="4" t="str">
        <f>"000017"</f>
        <v>000017</v>
      </c>
      <c r="K35" s="3">
        <v>43039</v>
      </c>
      <c r="L35" s="4" t="str">
        <f>"000038"</f>
        <v>000038</v>
      </c>
      <c r="M35" s="3">
        <v>43122</v>
      </c>
      <c r="N35" s="4">
        <v>17</v>
      </c>
      <c r="O35" s="4" t="str">
        <f>"006576"</f>
        <v>006576</v>
      </c>
      <c r="P35" s="3">
        <v>43383</v>
      </c>
      <c r="Q35" s="6">
        <v>9.9316999999999993</v>
      </c>
      <c r="R35" s="6">
        <v>1.014</v>
      </c>
      <c r="S35" s="6">
        <v>8.9177</v>
      </c>
      <c r="T35" s="4">
        <v>241</v>
      </c>
      <c r="U35" s="3">
        <v>43389</v>
      </c>
      <c r="V35" s="4">
        <v>9980010778</v>
      </c>
      <c r="W35" s="5" t="s">
        <v>151</v>
      </c>
      <c r="X35" s="4" t="s">
        <v>30</v>
      </c>
      <c r="Y35" s="5" t="s">
        <v>31</v>
      </c>
      <c r="Z35" s="4" t="s">
        <v>62</v>
      </c>
      <c r="AA35" s="5" t="s">
        <v>63</v>
      </c>
      <c r="AB35" s="6">
        <f t="shared" si="0"/>
        <v>9.9316999999999989E-2</v>
      </c>
      <c r="AD35" s="7"/>
      <c r="AF35" s="7"/>
      <c r="AG35" s="7"/>
    </row>
    <row r="36" spans="1:33" x14ac:dyDescent="0.2">
      <c r="A36" s="11">
        <v>7034</v>
      </c>
      <c r="B36" s="12" t="s">
        <v>148</v>
      </c>
      <c r="C36" s="12">
        <v>43403</v>
      </c>
      <c r="D36" s="4">
        <v>196</v>
      </c>
      <c r="E36" s="5" t="s">
        <v>65</v>
      </c>
      <c r="F36" s="4" t="s">
        <v>152</v>
      </c>
      <c r="G36" s="5" t="s">
        <v>153</v>
      </c>
      <c r="H36" s="4" t="str">
        <f>"000056"</f>
        <v>000056</v>
      </c>
      <c r="I36" s="3">
        <v>42515</v>
      </c>
      <c r="J36" s="4" t="str">
        <f>"000100"</f>
        <v>000100</v>
      </c>
      <c r="K36" s="3">
        <v>42770</v>
      </c>
      <c r="L36" s="4" t="str">
        <f>"000251"</f>
        <v>000251</v>
      </c>
      <c r="M36" s="3">
        <v>42770</v>
      </c>
      <c r="N36" s="4">
        <v>16</v>
      </c>
      <c r="O36" s="4" t="str">
        <f>"006928"</f>
        <v>006928</v>
      </c>
      <c r="P36" s="3">
        <v>43398</v>
      </c>
      <c r="Q36" s="6">
        <v>23.873999999999999</v>
      </c>
      <c r="R36" s="6">
        <v>3.1459999999999999</v>
      </c>
      <c r="S36" s="6">
        <v>20.728000000000002</v>
      </c>
      <c r="T36" s="4">
        <v>254</v>
      </c>
      <c r="U36" s="3">
        <v>43403</v>
      </c>
      <c r="V36" s="4">
        <v>9845131166</v>
      </c>
      <c r="W36" s="5" t="s">
        <v>154</v>
      </c>
      <c r="X36" s="4" t="s">
        <v>46</v>
      </c>
      <c r="Y36" s="5" t="s">
        <v>47</v>
      </c>
      <c r="Z36" s="4" t="s">
        <v>62</v>
      </c>
      <c r="AA36" s="5" t="s">
        <v>63</v>
      </c>
      <c r="AB36" s="6">
        <f t="shared" si="0"/>
        <v>0.23873999999999998</v>
      </c>
      <c r="AD36" s="7"/>
      <c r="AF36" s="7"/>
      <c r="AG36" s="7"/>
    </row>
    <row r="37" spans="1:33" x14ac:dyDescent="0.2">
      <c r="A37" s="11">
        <v>7289</v>
      </c>
      <c r="B37" s="12" t="s">
        <v>155</v>
      </c>
      <c r="C37" s="12">
        <v>43420</v>
      </c>
      <c r="D37" s="4">
        <v>196</v>
      </c>
      <c r="E37" s="5" t="s">
        <v>65</v>
      </c>
      <c r="F37" s="4" t="s">
        <v>156</v>
      </c>
      <c r="G37" s="5" t="s">
        <v>157</v>
      </c>
      <c r="H37" s="4" t="str">
        <f>"000063"</f>
        <v>000063</v>
      </c>
      <c r="I37" s="3">
        <v>42515</v>
      </c>
      <c r="J37" s="4" t="str">
        <f>"000096"</f>
        <v>000096</v>
      </c>
      <c r="K37" s="3">
        <v>42770</v>
      </c>
      <c r="L37" s="4" t="str">
        <f>"000246"</f>
        <v>000246</v>
      </c>
      <c r="M37" s="3">
        <v>42770</v>
      </c>
      <c r="N37" s="4">
        <v>15</v>
      </c>
      <c r="O37" s="4" t="str">
        <f>"007237"</f>
        <v>007237</v>
      </c>
      <c r="P37" s="3">
        <v>43406</v>
      </c>
      <c r="Q37" s="6">
        <v>15.57</v>
      </c>
      <c r="R37" s="6">
        <v>2.036</v>
      </c>
      <c r="S37" s="6">
        <v>13.534000000000001</v>
      </c>
      <c r="T37" s="4">
        <v>267</v>
      </c>
      <c r="U37" s="3">
        <v>43420</v>
      </c>
      <c r="V37" s="4">
        <v>9845131166</v>
      </c>
      <c r="W37" s="5" t="s">
        <v>87</v>
      </c>
      <c r="X37" s="4" t="s">
        <v>41</v>
      </c>
      <c r="Y37" s="5" t="s">
        <v>40</v>
      </c>
      <c r="Z37" s="4" t="s">
        <v>62</v>
      </c>
      <c r="AA37" s="5" t="s">
        <v>63</v>
      </c>
      <c r="AB37" s="6">
        <f t="shared" si="0"/>
        <v>0.15570000000000001</v>
      </c>
      <c r="AD37" s="7"/>
      <c r="AF37" s="7"/>
      <c r="AG37" s="7"/>
    </row>
    <row r="38" spans="1:33" x14ac:dyDescent="0.2">
      <c r="A38" s="11">
        <v>7814</v>
      </c>
      <c r="B38" s="12" t="s">
        <v>158</v>
      </c>
      <c r="C38" s="12">
        <v>43448</v>
      </c>
      <c r="D38" s="4">
        <v>196</v>
      </c>
      <c r="E38" s="5" t="s">
        <v>65</v>
      </c>
      <c r="F38" s="4" t="s">
        <v>159</v>
      </c>
      <c r="G38" s="5" t="s">
        <v>160</v>
      </c>
      <c r="H38" s="4" t="str">
        <f>"000101"</f>
        <v>000101</v>
      </c>
      <c r="I38" s="3">
        <v>42592</v>
      </c>
      <c r="J38" s="4" t="str">
        <f>"000092"</f>
        <v>000092</v>
      </c>
      <c r="K38" s="3">
        <v>42734</v>
      </c>
      <c r="L38" s="4" t="str">
        <f>"000242"</f>
        <v>000242</v>
      </c>
      <c r="M38" s="3">
        <v>42737</v>
      </c>
      <c r="N38" s="4">
        <v>15</v>
      </c>
      <c r="O38" s="4" t="str">
        <f>"007953"</f>
        <v>007953</v>
      </c>
      <c r="P38" s="3">
        <v>43447</v>
      </c>
      <c r="Q38" s="6">
        <v>18.05</v>
      </c>
      <c r="R38" s="6">
        <v>2.7189999999999999</v>
      </c>
      <c r="S38" s="6">
        <v>15.331</v>
      </c>
      <c r="T38" s="4">
        <v>291</v>
      </c>
      <c r="U38" s="3">
        <v>43448</v>
      </c>
      <c r="V38" s="4">
        <v>9845183166</v>
      </c>
      <c r="W38" s="5" t="s">
        <v>161</v>
      </c>
      <c r="X38" s="4" t="s">
        <v>46</v>
      </c>
      <c r="Y38" s="5" t="s">
        <v>47</v>
      </c>
      <c r="Z38" s="4" t="s">
        <v>62</v>
      </c>
      <c r="AA38" s="5" t="s">
        <v>63</v>
      </c>
      <c r="AB38" s="6">
        <f t="shared" si="0"/>
        <v>0.18049999999999999</v>
      </c>
      <c r="AD38" s="7"/>
      <c r="AF38" s="7"/>
      <c r="AG38" s="7"/>
    </row>
    <row r="39" spans="1:33" x14ac:dyDescent="0.2">
      <c r="A39" s="11">
        <v>7815</v>
      </c>
      <c r="B39" s="12" t="s">
        <v>158</v>
      </c>
      <c r="C39" s="12">
        <v>43448</v>
      </c>
      <c r="D39" s="4">
        <v>196</v>
      </c>
      <c r="E39" s="5" t="s">
        <v>65</v>
      </c>
      <c r="F39" s="4" t="s">
        <v>162</v>
      </c>
      <c r="G39" s="5" t="s">
        <v>163</v>
      </c>
      <c r="H39" s="4" t="str">
        <f>"000135"</f>
        <v>000135</v>
      </c>
      <c r="I39" s="3">
        <v>42667</v>
      </c>
      <c r="J39" s="4" t="str">
        <f>"000106"</f>
        <v>000106</v>
      </c>
      <c r="K39" s="3">
        <v>42794</v>
      </c>
      <c r="L39" s="4" t="str">
        <f>"000283"</f>
        <v>000283</v>
      </c>
      <c r="M39" s="3">
        <v>42794</v>
      </c>
      <c r="N39" s="4">
        <v>17</v>
      </c>
      <c r="O39" s="4" t="str">
        <f>"007977"</f>
        <v>007977</v>
      </c>
      <c r="P39" s="3">
        <v>43448</v>
      </c>
      <c r="Q39" s="6">
        <v>47.15</v>
      </c>
      <c r="R39" s="6">
        <v>7.867</v>
      </c>
      <c r="S39" s="6">
        <v>39.283000000000001</v>
      </c>
      <c r="T39" s="4">
        <v>291</v>
      </c>
      <c r="U39" s="3">
        <v>43448</v>
      </c>
      <c r="V39" s="4">
        <v>9845183166</v>
      </c>
      <c r="W39" s="5" t="s">
        <v>39</v>
      </c>
      <c r="X39" s="4" t="s">
        <v>52</v>
      </c>
      <c r="Y39" s="5" t="s">
        <v>53</v>
      </c>
      <c r="Z39" s="4" t="s">
        <v>62</v>
      </c>
      <c r="AA39" s="5" t="s">
        <v>63</v>
      </c>
      <c r="AB39" s="6">
        <f t="shared" si="0"/>
        <v>0.47149999999999997</v>
      </c>
      <c r="AD39" s="7"/>
      <c r="AF39" s="7"/>
      <c r="AG39" s="7"/>
    </row>
    <row r="40" spans="1:33" x14ac:dyDescent="0.2">
      <c r="A40" s="11">
        <v>7816</v>
      </c>
      <c r="B40" s="12" t="s">
        <v>158</v>
      </c>
      <c r="C40" s="12">
        <v>43448</v>
      </c>
      <c r="D40" s="4">
        <v>196</v>
      </c>
      <c r="E40" s="5" t="s">
        <v>65</v>
      </c>
      <c r="F40" s="4" t="s">
        <v>164</v>
      </c>
      <c r="G40" s="5" t="s">
        <v>165</v>
      </c>
      <c r="H40" s="4" t="str">
        <f>"00a178"</f>
        <v>00a178</v>
      </c>
      <c r="I40" s="3">
        <v>42782</v>
      </c>
      <c r="J40" s="4" t="str">
        <f>"000108"</f>
        <v>000108</v>
      </c>
      <c r="K40" s="3">
        <v>42817</v>
      </c>
      <c r="L40" s="4" t="str">
        <f>"000285"</f>
        <v>000285</v>
      </c>
      <c r="M40" s="3">
        <v>42817</v>
      </c>
      <c r="N40" s="4">
        <v>17</v>
      </c>
      <c r="O40" s="4" t="str">
        <f>"007978"</f>
        <v>007978</v>
      </c>
      <c r="P40" s="3">
        <v>43448</v>
      </c>
      <c r="Q40" s="6">
        <v>49.713999999999999</v>
      </c>
      <c r="R40" s="6">
        <v>8.2425999999999995</v>
      </c>
      <c r="S40" s="6">
        <v>41.471400000000003</v>
      </c>
      <c r="T40" s="4">
        <v>291</v>
      </c>
      <c r="U40" s="3">
        <v>43448</v>
      </c>
      <c r="V40" s="4">
        <v>9845183166</v>
      </c>
      <c r="W40" s="5" t="s">
        <v>166</v>
      </c>
      <c r="X40" s="4" t="s">
        <v>167</v>
      </c>
      <c r="Y40" s="5" t="s">
        <v>168</v>
      </c>
      <c r="Z40" s="4" t="s">
        <v>62</v>
      </c>
      <c r="AA40" s="5" t="s">
        <v>63</v>
      </c>
      <c r="AB40" s="6">
        <f t="shared" si="0"/>
        <v>0.49713999999999997</v>
      </c>
      <c r="AD40" s="7"/>
      <c r="AF40" s="7"/>
      <c r="AG40" s="7"/>
    </row>
    <row r="41" spans="1:33" x14ac:dyDescent="0.2">
      <c r="A41" s="11">
        <v>7817</v>
      </c>
      <c r="B41" s="12" t="s">
        <v>158</v>
      </c>
      <c r="C41" s="12">
        <v>43448</v>
      </c>
      <c r="D41" s="4">
        <v>196</v>
      </c>
      <c r="E41" s="5" t="s">
        <v>65</v>
      </c>
      <c r="F41" s="4" t="s">
        <v>169</v>
      </c>
      <c r="G41" s="5" t="s">
        <v>170</v>
      </c>
      <c r="H41" s="4" t="str">
        <f>"000175"</f>
        <v>000175</v>
      </c>
      <c r="I41" s="3">
        <v>42782</v>
      </c>
      <c r="J41" s="4" t="str">
        <f>"000110"</f>
        <v>000110</v>
      </c>
      <c r="K41" s="3">
        <v>42817</v>
      </c>
      <c r="L41" s="4" t="str">
        <f>"000286"</f>
        <v>000286</v>
      </c>
      <c r="M41" s="3">
        <v>42817</v>
      </c>
      <c r="N41" s="4">
        <v>17</v>
      </c>
      <c r="O41" s="4" t="str">
        <f>"007979"</f>
        <v>007979</v>
      </c>
      <c r="P41" s="3">
        <v>43448</v>
      </c>
      <c r="Q41" s="6">
        <v>49.96</v>
      </c>
      <c r="R41" s="6">
        <v>8.3453999999999997</v>
      </c>
      <c r="S41" s="6">
        <v>41.614600000000003</v>
      </c>
      <c r="T41" s="4">
        <v>291</v>
      </c>
      <c r="U41" s="3">
        <v>43448</v>
      </c>
      <c r="V41" s="4">
        <v>9845183166</v>
      </c>
      <c r="W41" s="5" t="s">
        <v>39</v>
      </c>
      <c r="X41" s="4" t="s">
        <v>167</v>
      </c>
      <c r="Y41" s="5" t="s">
        <v>168</v>
      </c>
      <c r="Z41" s="4" t="s">
        <v>62</v>
      </c>
      <c r="AA41" s="5" t="s">
        <v>63</v>
      </c>
      <c r="AB41" s="6">
        <f t="shared" si="0"/>
        <v>0.49959999999999999</v>
      </c>
      <c r="AD41" s="7"/>
      <c r="AF41" s="7"/>
      <c r="AG41" s="7"/>
    </row>
    <row r="42" spans="1:33" x14ac:dyDescent="0.2">
      <c r="A42" s="11">
        <v>8071</v>
      </c>
      <c r="B42" s="12" t="s">
        <v>158</v>
      </c>
      <c r="C42" s="12">
        <v>43455</v>
      </c>
      <c r="D42" s="4">
        <v>196</v>
      </c>
      <c r="E42" s="5" t="s">
        <v>65</v>
      </c>
      <c r="F42" s="4" t="s">
        <v>171</v>
      </c>
      <c r="G42" s="5" t="s">
        <v>172</v>
      </c>
      <c r="H42" s="4" t="str">
        <f>"000100"</f>
        <v>000100</v>
      </c>
      <c r="I42" s="3">
        <v>42592</v>
      </c>
      <c r="J42" s="4" t="str">
        <f>"000003"</f>
        <v>000003</v>
      </c>
      <c r="K42" s="3">
        <v>42831</v>
      </c>
      <c r="L42" s="4" t="str">
        <f>"000006"</f>
        <v>000006</v>
      </c>
      <c r="M42" s="3">
        <v>42853</v>
      </c>
      <c r="N42" s="4">
        <v>15</v>
      </c>
      <c r="O42" s="4" t="str">
        <f>"008110"</f>
        <v>008110</v>
      </c>
      <c r="P42" s="3">
        <v>43454</v>
      </c>
      <c r="Q42" s="6">
        <v>18.192</v>
      </c>
      <c r="R42" s="6">
        <v>2.7364999999999999</v>
      </c>
      <c r="S42" s="6">
        <v>15.455500000000001</v>
      </c>
      <c r="T42" s="4">
        <v>301</v>
      </c>
      <c r="U42" s="3">
        <v>43455</v>
      </c>
      <c r="V42" s="4">
        <v>9845183166</v>
      </c>
      <c r="W42" s="5" t="s">
        <v>161</v>
      </c>
      <c r="X42" s="4" t="s">
        <v>46</v>
      </c>
      <c r="Y42" s="5" t="s">
        <v>47</v>
      </c>
      <c r="Z42" s="4" t="s">
        <v>62</v>
      </c>
      <c r="AA42" s="5" t="s">
        <v>63</v>
      </c>
      <c r="AB42" s="6">
        <f t="shared" si="0"/>
        <v>0.18192</v>
      </c>
      <c r="AD42" s="7"/>
      <c r="AF42" s="7"/>
      <c r="AG42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2019-01-08T07:19:18Z</cp:lastPrinted>
  <dcterms:created xsi:type="dcterms:W3CDTF">2019-01-08T05:01:28Z</dcterms:created>
  <dcterms:modified xsi:type="dcterms:W3CDTF">2019-01-17T15:09:22Z</dcterms:modified>
</cp:coreProperties>
</file>