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esktop\2018-19 H1\1st April 2018 to 30th Sep 2018 BR Jobcode Tender WBB For ICMYC\BR 198\"/>
    </mc:Choice>
  </mc:AlternateContent>
  <bookViews>
    <workbookView xWindow="0" yWindow="0" windowWidth="15360" windowHeight="904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45" i="1" l="1"/>
  <c r="O45" i="1"/>
  <c r="L45" i="1"/>
  <c r="J45" i="1"/>
  <c r="H45" i="1"/>
  <c r="AB44" i="1"/>
  <c r="O44" i="1"/>
  <c r="L44" i="1"/>
  <c r="J44" i="1"/>
  <c r="H44" i="1"/>
  <c r="AB43" i="1"/>
  <c r="O43" i="1"/>
  <c r="L43" i="1"/>
  <c r="J43" i="1"/>
  <c r="H43" i="1"/>
  <c r="AB42" i="1"/>
  <c r="O42" i="1"/>
  <c r="L42" i="1"/>
  <c r="J42" i="1"/>
  <c r="H42" i="1"/>
  <c r="AB41" i="1"/>
  <c r="O41" i="1"/>
  <c r="L41" i="1"/>
  <c r="J41" i="1"/>
  <c r="H41" i="1"/>
  <c r="AB40" i="1"/>
  <c r="O40" i="1"/>
  <c r="L40" i="1"/>
  <c r="J40" i="1"/>
  <c r="H40" i="1"/>
  <c r="AB39" i="1"/>
  <c r="O39" i="1"/>
  <c r="L39" i="1"/>
  <c r="J39" i="1"/>
  <c r="H39" i="1"/>
  <c r="AB38" i="1"/>
  <c r="O38" i="1"/>
  <c r="L38" i="1"/>
  <c r="J38" i="1"/>
  <c r="H38" i="1"/>
  <c r="AB37" i="1"/>
  <c r="O37" i="1"/>
  <c r="L37" i="1"/>
  <c r="J37" i="1"/>
  <c r="H37" i="1"/>
  <c r="AB36" i="1"/>
  <c r="O36" i="1"/>
  <c r="L36" i="1"/>
  <c r="J36" i="1"/>
  <c r="H36" i="1"/>
  <c r="AB35" i="1"/>
  <c r="O35" i="1"/>
  <c r="L35" i="1"/>
  <c r="J35" i="1"/>
  <c r="H35" i="1"/>
  <c r="AB34" i="1"/>
  <c r="O34" i="1"/>
  <c r="L34" i="1"/>
  <c r="J34" i="1"/>
  <c r="H34" i="1"/>
  <c r="AB33" i="1"/>
  <c r="O33" i="1"/>
  <c r="L33" i="1"/>
  <c r="J33" i="1"/>
  <c r="H33" i="1"/>
  <c r="O32" i="1"/>
  <c r="L32" i="1"/>
  <c r="J32" i="1"/>
  <c r="H32" i="1"/>
  <c r="O31" i="1"/>
  <c r="L31" i="1"/>
  <c r="J31" i="1"/>
  <c r="H31" i="1"/>
  <c r="O30" i="1"/>
  <c r="L30" i="1"/>
  <c r="J30" i="1"/>
  <c r="H30" i="1"/>
  <c r="O29" i="1"/>
  <c r="L29" i="1"/>
  <c r="J29" i="1"/>
  <c r="H29" i="1"/>
  <c r="O28" i="1"/>
  <c r="L28" i="1"/>
  <c r="J28" i="1"/>
  <c r="H28" i="1"/>
  <c r="O27" i="1"/>
  <c r="L27" i="1"/>
  <c r="J27" i="1"/>
  <c r="H27" i="1"/>
  <c r="O26" i="1"/>
  <c r="L26" i="1"/>
  <c r="J26" i="1"/>
  <c r="H26" i="1"/>
  <c r="O25" i="1"/>
  <c r="L25" i="1"/>
  <c r="J25" i="1"/>
  <c r="H25" i="1"/>
  <c r="O24" i="1"/>
  <c r="L24" i="1"/>
  <c r="J24" i="1"/>
  <c r="H24" i="1"/>
  <c r="O23" i="1"/>
  <c r="L23" i="1"/>
  <c r="J23" i="1"/>
  <c r="H23" i="1"/>
  <c r="O22" i="1"/>
  <c r="L22" i="1"/>
  <c r="J22" i="1"/>
  <c r="H22" i="1"/>
  <c r="O21" i="1"/>
  <c r="L21" i="1"/>
  <c r="J21" i="1"/>
  <c r="H21" i="1"/>
  <c r="O20" i="1"/>
  <c r="L20" i="1"/>
  <c r="J20" i="1"/>
  <c r="H20" i="1"/>
  <c r="O19" i="1"/>
  <c r="L19" i="1"/>
  <c r="J19" i="1"/>
  <c r="H19" i="1"/>
  <c r="O18" i="1"/>
  <c r="L18" i="1"/>
  <c r="J18" i="1"/>
  <c r="H18" i="1"/>
  <c r="O17" i="1"/>
  <c r="L17" i="1"/>
  <c r="J17" i="1"/>
  <c r="H17" i="1"/>
  <c r="O16" i="1"/>
  <c r="L16" i="1"/>
  <c r="J16" i="1"/>
  <c r="H16" i="1"/>
  <c r="O15" i="1"/>
  <c r="L15" i="1"/>
  <c r="J15" i="1"/>
  <c r="H15" i="1"/>
  <c r="O14" i="1"/>
  <c r="L14" i="1"/>
  <c r="J14" i="1"/>
  <c r="H14" i="1"/>
  <c r="O13" i="1"/>
  <c r="L13" i="1"/>
  <c r="J13" i="1"/>
  <c r="H13" i="1"/>
  <c r="O12" i="1"/>
  <c r="L12" i="1"/>
  <c r="J12" i="1"/>
  <c r="H12" i="1"/>
  <c r="O11" i="1"/>
  <c r="L11" i="1"/>
  <c r="J11" i="1"/>
  <c r="H11" i="1"/>
  <c r="O10" i="1"/>
  <c r="L10" i="1"/>
  <c r="J10" i="1"/>
  <c r="H10" i="1"/>
  <c r="O9" i="1"/>
  <c r="L9" i="1"/>
  <c r="J9" i="1"/>
  <c r="H9" i="1"/>
  <c r="O8" i="1"/>
  <c r="L8" i="1"/>
  <c r="J8" i="1"/>
  <c r="H8" i="1"/>
  <c r="O7" i="1"/>
  <c r="L7" i="1"/>
  <c r="J7" i="1"/>
  <c r="H7" i="1"/>
  <c r="O6" i="1"/>
  <c r="L6" i="1"/>
  <c r="J6" i="1"/>
  <c r="H6" i="1"/>
  <c r="O5" i="1"/>
  <c r="L5" i="1"/>
  <c r="J5" i="1"/>
  <c r="H5" i="1"/>
  <c r="O4" i="1"/>
  <c r="L4" i="1"/>
  <c r="J4" i="1"/>
  <c r="H4" i="1"/>
  <c r="O3" i="1"/>
  <c r="L3" i="1"/>
  <c r="J3" i="1"/>
  <c r="H3" i="1"/>
  <c r="O2" i="1"/>
  <c r="L2" i="1"/>
  <c r="J2" i="1"/>
  <c r="H2" i="1"/>
</calcChain>
</file>

<file path=xl/sharedStrings.xml><?xml version="1.0" encoding="utf-8"?>
<sst xmlns="http://schemas.openxmlformats.org/spreadsheetml/2006/main" count="424" uniqueCount="172">
  <si>
    <t>SL No</t>
  </si>
  <si>
    <t>Month</t>
  </si>
  <si>
    <t>Date</t>
  </si>
  <si>
    <t>Ward_No</t>
  </si>
  <si>
    <t>Ward_Name</t>
  </si>
  <si>
    <t>Job_Code</t>
  </si>
  <si>
    <t>Job_Description</t>
  </si>
  <si>
    <t>Work_ Order</t>
  </si>
  <si>
    <t>Work_Order_Date</t>
  </si>
  <si>
    <t>Sub Bill Register_No</t>
  </si>
  <si>
    <t>Sub Bill Register_Date</t>
  </si>
  <si>
    <t>Bill Register No</t>
  </si>
  <si>
    <t>Bill Register Date</t>
  </si>
  <si>
    <t>Job Code Year</t>
  </si>
  <si>
    <t>CBR_No</t>
  </si>
  <si>
    <t>CBR_Date</t>
  </si>
  <si>
    <t>Gross_ Amount In Lakhs</t>
  </si>
  <si>
    <t>Deduction In Lakhs</t>
  </si>
  <si>
    <t>Nett_ Amount In Lakhs</t>
  </si>
  <si>
    <t>RTGS_No</t>
  </si>
  <si>
    <t>RTGS_Date</t>
  </si>
  <si>
    <t>Contractor Number</t>
  </si>
  <si>
    <t>Contractor_Name</t>
  </si>
  <si>
    <t>P_Code</t>
  </si>
  <si>
    <t>Budget_Head</t>
  </si>
  <si>
    <t>Budget_ Head_ID</t>
  </si>
  <si>
    <t>Engineer Details</t>
  </si>
  <si>
    <t>Gross_ Amount In Cr</t>
  </si>
  <si>
    <t>April</t>
  </si>
  <si>
    <t>August</t>
  </si>
  <si>
    <t>P1771</t>
  </si>
  <si>
    <t>Zone Works - POW Works</t>
  </si>
  <si>
    <t>July</t>
  </si>
  <si>
    <t>P0300</t>
  </si>
  <si>
    <t>M and R to Street Lights - Replacement of Burnt Bulbs etc. (Package)</t>
  </si>
  <si>
    <t>May</t>
  </si>
  <si>
    <t>September</t>
  </si>
  <si>
    <t>P3110</t>
  </si>
  <si>
    <t>14th Finance Commission Grant Works</t>
  </si>
  <si>
    <t>KRIDL</t>
  </si>
  <si>
    <t>Water Supply New Areas</t>
  </si>
  <si>
    <t>P1802</t>
  </si>
  <si>
    <t>June</t>
  </si>
  <si>
    <t>P3158</t>
  </si>
  <si>
    <t>SIP Infrastructure Project works</t>
  </si>
  <si>
    <t>P2178</t>
  </si>
  <si>
    <t>Works sanctioned by Dy. Mayor</t>
  </si>
  <si>
    <t>M/s KRIDL</t>
  </si>
  <si>
    <t>P0190</t>
  </si>
  <si>
    <t>Works sanctioned by Hon Mayor</t>
  </si>
  <si>
    <t>P3089</t>
  </si>
  <si>
    <t>Special Development works in 7 CMC and 1 TMC area in BBMP</t>
  </si>
  <si>
    <t>P3071</t>
  </si>
  <si>
    <t>Development of Backward regions of Muncipal area under BBMP limits</t>
  </si>
  <si>
    <t>ddo439</t>
  </si>
  <si>
    <t xml:space="preserve"> Executive Engineer Electrical Division Bomanahalli Zone</t>
  </si>
  <si>
    <t>Sri B K Vinod Kumar</t>
  </si>
  <si>
    <t>ddo445</t>
  </si>
  <si>
    <t xml:space="preserve"> Assistant Executive Engineer Uttharahalli  sub Division Bomanahalli Zone</t>
  </si>
  <si>
    <t>HARISH CONSTRUCTION C.RAMAMURTHY</t>
  </si>
  <si>
    <t>SURESH B N</t>
  </si>
  <si>
    <t>VIJAY KUMAR A</t>
  </si>
  <si>
    <t>Sri M Taiyub Ahmed</t>
  </si>
  <si>
    <t>vijay kumar a</t>
  </si>
  <si>
    <t>Vasanthpura</t>
  </si>
  <si>
    <t>197-17-000038</t>
  </si>
  <si>
    <t>Improvements to drains and roads at Manga garden in 1st, 2nd, 3rd cross dead end road near delhi Public school in Ward no.197, Vasanthapura</t>
  </si>
  <si>
    <t>197-17-000039</t>
  </si>
  <si>
    <t>Improvements to drains and roads at Doctors colony 2nd main, 1st, 1st A , 2nd, 2nd A , 3rd, 4th, amd 5th cross at Doddakallasandra in Ward no.197 Vasanthapura</t>
  </si>
  <si>
    <t>197-17-000040</t>
  </si>
  <si>
    <t>Improvements to drains and roads at Soudhamini layout 2nd main from Amruthnagara main road to KEB in Ward no.197 Vasanthapura</t>
  </si>
  <si>
    <t>197-17-000041</t>
  </si>
  <si>
    <t>Construction of Culverts at Maruthi layout in Ward no.197 Vasanthapura</t>
  </si>
  <si>
    <t>197-17-000055</t>
  </si>
  <si>
    <t>Providing Modren Dust Bin in Bangalore City in ward no 197</t>
  </si>
  <si>
    <t>Sri M Taiyub Ahemd</t>
  </si>
  <si>
    <t>197-16-000006</t>
  </si>
  <si>
    <t>Providing UGD lines and Missed Links in ward no 197 Vasanthapura</t>
  </si>
  <si>
    <t>Boregowda H B</t>
  </si>
  <si>
    <t>197-16-000033</t>
  </si>
  <si>
    <t>Improvements and Construction of drains at uttarahalli vasanthapura Main road in ward o.197 Vasanthapura</t>
  </si>
  <si>
    <t>B N SURESH</t>
  </si>
  <si>
    <t>197-16-000038</t>
  </si>
  <si>
    <t>Providing and asphalting to roads at 7th main and 11th Cross road in Narayananagara 3rd Block ward No 197</t>
  </si>
  <si>
    <t>197-16-000032</t>
  </si>
  <si>
    <t>Improvements and Asphalting the roads at Maruthi layout in ward no.197, Vasanthapura</t>
  </si>
  <si>
    <t>VIJAYA KUMAR A</t>
  </si>
  <si>
    <t>197-16-000039</t>
  </si>
  <si>
    <t>Improvements to Devarakere in Ward No 197 Vasanthapura</t>
  </si>
  <si>
    <t>197-16-000034</t>
  </si>
  <si>
    <t>Improvements and Asphalting the balance roads at vittal nagara and Maruthi layout in ward no.197, Vasanthapura</t>
  </si>
  <si>
    <t>197-16-000036</t>
  </si>
  <si>
    <t>Improvements and Asphalting the roads at Vallabha nagara in ward no.197, Vasanthapura</t>
  </si>
  <si>
    <t>197-16-000040</t>
  </si>
  <si>
    <t>Improvements and asphalting to PNB layout and Doctors colony in Ward No 197</t>
  </si>
  <si>
    <t>197-16-000010</t>
  </si>
  <si>
    <t>Providing drinking water through water tankers in ward no 197 vasanthapura</t>
  </si>
  <si>
    <t>C K Harish</t>
  </si>
  <si>
    <t>197-17-000015</t>
  </si>
  <si>
    <t>Drilling of 165 mm Dia New borewell and providing electrification and Distribution of pipe line in ward no.197 Vasanthapura</t>
  </si>
  <si>
    <t>H B Boregowda</t>
  </si>
  <si>
    <t>197-17-000008</t>
  </si>
  <si>
    <t>Maintaince of Water Supply system in ward no.197 Vasanthapura</t>
  </si>
  <si>
    <t>197-17-000047</t>
  </si>
  <si>
    <t>Improvements and Asphalting the main and 1st 2nd 3rd cross road of vittal nagara 1st stage in ward no 197 vasanthapura</t>
  </si>
  <si>
    <t>197-16-000035</t>
  </si>
  <si>
    <t>Improvements and Asphalting the roads at Narayana nagara in ward no.197, Vasanthapura</t>
  </si>
  <si>
    <t>197-16-000001</t>
  </si>
  <si>
    <t>Annual Operation and Maintenance of street lighting system in ward no-197 Package B14 of Bommanahalli zone.</t>
  </si>
  <si>
    <t>M/s Sri Venkateswara Electricals</t>
  </si>
  <si>
    <t>197-17-000056</t>
  </si>
  <si>
    <t>Providing CC Camera at Garbage Block Spots in ward no 197</t>
  </si>
  <si>
    <t>197-15-000006</t>
  </si>
  <si>
    <t>Improvements to roads and drains at anjaneya swamy temple road and Madduramma temple road near St Dominic School in ward no 197 Vasanthapura</t>
  </si>
  <si>
    <t>Vijay Kumar A</t>
  </si>
  <si>
    <t>197-16-000037</t>
  </si>
  <si>
    <t>Drilling of 165MM DIA BOREWELL AT Sharada Nagara, V.V.Nagara in ward no.197, Vasanthapura</t>
  </si>
  <si>
    <t>197-16-000008</t>
  </si>
  <si>
    <t>Reserve fund for Emergency works in ward no 197 Vasanthapura.</t>
  </si>
  <si>
    <t>197-15-000034</t>
  </si>
  <si>
    <t>Providing cross roads Ornamental boards painting at K S R T C Layout Sarvabhomanagara Ramanjaneya Layout and surrounding areas in ward no 197</t>
  </si>
  <si>
    <t>197-16-000044</t>
  </si>
  <si>
    <t>Improvements to drains and roads at Ganapathipura Govind Reddy layout in ward no 197 Vasanthapura</t>
  </si>
  <si>
    <t>197-16-000046</t>
  </si>
  <si>
    <t>Improvements to drains and roads at Ganapathipura cross roads in ward no 197 Vasanthapura</t>
  </si>
  <si>
    <t>197-16-000043</t>
  </si>
  <si>
    <t>Improvements to drains and roads at Canara Bank road in ward no 197 Vasanthapura</t>
  </si>
  <si>
    <t>197-16-000045</t>
  </si>
  <si>
    <t>Improvements to drains and roads at Konanakunte cross roads in ward no 197 Vasanthapura</t>
  </si>
  <si>
    <t>197-16-000009</t>
  </si>
  <si>
    <t>Drilling of 165 mm Dia New borewell and providing electrification and distribution of pipe line in ward no 197 vasanthapura</t>
  </si>
  <si>
    <t>Vijay kumar A</t>
  </si>
  <si>
    <t>197-16-000052</t>
  </si>
  <si>
    <t>Improvements to roads and drains in Vasanthapura ward no 197</t>
  </si>
  <si>
    <t>197-16-000053</t>
  </si>
  <si>
    <t>Construction of Shuttle Court in ward no 197 Vasanthapura</t>
  </si>
  <si>
    <t>197-14-000025</t>
  </si>
  <si>
    <t>EMERGENCY WORKS IN WARD NO 197 VASANTHAPURA</t>
  </si>
  <si>
    <t>narasimha swamy</t>
  </si>
  <si>
    <t>197-17-000007</t>
  </si>
  <si>
    <t>Maintenance of UGD system in ward no.197 Vasanthapura</t>
  </si>
  <si>
    <t>197-17-000009</t>
  </si>
  <si>
    <t>Providing UGD lines and Missed links in ward no.197 Vasanthapura</t>
  </si>
  <si>
    <t>October</t>
  </si>
  <si>
    <t>197-17-000053</t>
  </si>
  <si>
    <t>Improvements Drain and Culvert near Shuttle Court Stadium at Bikasipura in ward no 197</t>
  </si>
  <si>
    <t>197-18-000079</t>
  </si>
  <si>
    <t>Providing LED Street light fittings in ward no 197 Vasanthapura</t>
  </si>
  <si>
    <t xml:space="preserve">M/s. Executive Engineer-01                 </t>
  </si>
  <si>
    <t>P3290</t>
  </si>
  <si>
    <t>14th Finance Commission Works - Providing Street Lights and Maintenance</t>
  </si>
  <si>
    <t>197-15-000025</t>
  </si>
  <si>
    <t>Providing ornamental name boards and cross boards, painting etc  in ward no 197</t>
  </si>
  <si>
    <t>197-15-000012</t>
  </si>
  <si>
    <t>Improvements and asphalting the main roads of Udaya nagara in ward no 197 Vasanthapura</t>
  </si>
  <si>
    <t>Uday kumar k</t>
  </si>
  <si>
    <t>197-17-000044</t>
  </si>
  <si>
    <t>Development of roads and drains in ward no 197</t>
  </si>
  <si>
    <t>Sri K Uday Kumar</t>
  </si>
  <si>
    <t>December</t>
  </si>
  <si>
    <t>197-17-000059</t>
  </si>
  <si>
    <t xml:space="preserve">Providing drinking water works  in Ward No 197   in Bangalore South Division                    </t>
  </si>
  <si>
    <t>Sri H B Boregowda</t>
  </si>
  <si>
    <t>197-18-000006</t>
  </si>
  <si>
    <t>Improvements to CC  road drain culverts at A K Colony at Chikkalasandra and surrounding areas  in  ward no 197</t>
  </si>
  <si>
    <t>P1878</t>
  </si>
  <si>
    <t>18per - Works (Bhagyajyothi, Sooru / Neeru Yojane and General) (54 Lakhs / New Wards)</t>
  </si>
  <si>
    <t>197-18-000004</t>
  </si>
  <si>
    <t>Improvements to CC  road drain culverts at Vasanthapura grama and surrounding areas  in  ward no 197</t>
  </si>
  <si>
    <t>197-18-000005</t>
  </si>
  <si>
    <t>Improvements to CC  road drain culverts at ayyappanagara and surrounding areas  in  ward no 197</t>
  </si>
  <si>
    <t>Maintaince of  Water Supply system in ward no.197 Vasanthapura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</si>
</sst>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5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2" fontId="2" fillId="0" borderId="1" xfId="0" applyNumberFormat="1" applyFont="1" applyBorder="1" applyAlignment="1">
      <alignment horizontal="right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1" fontId="2" fillId="0" borderId="1" xfId="0" applyNumberFormat="1" applyFont="1" applyBorder="1" applyAlignment="1">
      <alignment horizontal="left" vertical="center"/>
    </xf>
    <xf numFmtId="15" fontId="2" fillId="0" borderId="1" xfId="0" applyNumberFormat="1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5"/>
  <sheetViews>
    <sheetView tabSelected="1" workbookViewId="0">
      <selection activeCell="E8" sqref="E8"/>
    </sheetView>
  </sheetViews>
  <sheetFormatPr defaultRowHeight="12.75" x14ac:dyDescent="0.2"/>
  <cols>
    <col min="1" max="1" width="5.42578125" style="8" bestFit="1" customWidth="1"/>
    <col min="2" max="2" width="9.140625" style="8"/>
    <col min="3" max="3" width="9.5703125" style="8" bestFit="1" customWidth="1"/>
    <col min="4" max="4" width="9.140625" style="8"/>
    <col min="5" max="5" width="11.140625" style="9" bestFit="1" customWidth="1"/>
    <col min="6" max="6" width="13.28515625" style="9" bestFit="1" customWidth="1"/>
    <col min="7" max="7" width="36.28515625" style="9" customWidth="1"/>
    <col min="8" max="8" width="9.140625" style="9"/>
    <col min="9" max="9" width="9.140625" style="8"/>
    <col min="10" max="10" width="9.140625" style="7"/>
    <col min="11" max="20" width="9.140625" style="8"/>
    <col min="21" max="23" width="9.140625" style="10"/>
    <col min="24" max="26" width="9.140625" style="8"/>
    <col min="27" max="27" width="9.140625" style="7"/>
    <col min="28" max="28" width="9.140625" style="8"/>
    <col min="29" max="29" width="9.140625" style="7"/>
    <col min="30" max="30" width="9.140625" style="8"/>
    <col min="31" max="31" width="9.140625" style="7"/>
    <col min="32" max="33" width="9.140625" style="8"/>
    <col min="34" max="16384" width="9.140625" style="7"/>
  </cols>
  <sheetData>
    <row r="1" spans="1:33" ht="19.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1" t="s">
        <v>14</v>
      </c>
      <c r="P1" s="1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1" t="s">
        <v>20</v>
      </c>
      <c r="V1" s="2" t="s">
        <v>21</v>
      </c>
      <c r="W1" s="1" t="s">
        <v>22</v>
      </c>
      <c r="X1" s="1" t="s">
        <v>23</v>
      </c>
      <c r="Y1" s="1" t="s">
        <v>24</v>
      </c>
      <c r="Z1" s="2" t="s">
        <v>25</v>
      </c>
      <c r="AA1" s="1" t="s">
        <v>26</v>
      </c>
      <c r="AB1" s="2" t="s">
        <v>27</v>
      </c>
      <c r="AD1" s="7"/>
      <c r="AF1" s="7"/>
      <c r="AG1" s="7"/>
    </row>
    <row r="2" spans="1:33" x14ac:dyDescent="0.2">
      <c r="A2" s="11">
        <v>155</v>
      </c>
      <c r="B2" s="12" t="s">
        <v>28</v>
      </c>
      <c r="C2" s="12">
        <v>43194</v>
      </c>
      <c r="D2" s="4">
        <v>197</v>
      </c>
      <c r="E2" s="5" t="s">
        <v>64</v>
      </c>
      <c r="F2" s="4" t="s">
        <v>65</v>
      </c>
      <c r="G2" s="5" t="s">
        <v>66</v>
      </c>
      <c r="H2" s="4" t="str">
        <f>"000320"</f>
        <v>000320</v>
      </c>
      <c r="I2" s="3">
        <v>43143</v>
      </c>
      <c r="J2" s="4" t="str">
        <f>""</f>
        <v/>
      </c>
      <c r="K2" s="3">
        <v>43150</v>
      </c>
      <c r="L2" s="4" t="str">
        <f>""</f>
        <v/>
      </c>
      <c r="M2" s="3"/>
      <c r="N2" s="4">
        <v>17</v>
      </c>
      <c r="O2" s="4" t="str">
        <f>""</f>
        <v/>
      </c>
      <c r="P2" s="3"/>
      <c r="Q2" s="6">
        <v>44.68</v>
      </c>
      <c r="R2" s="6">
        <v>2.2829000000000002</v>
      </c>
      <c r="S2" s="6">
        <v>42.397100000000002</v>
      </c>
      <c r="T2" s="4">
        <v>1</v>
      </c>
      <c r="U2" s="3">
        <v>43194</v>
      </c>
      <c r="V2" s="4">
        <v>9845222227</v>
      </c>
      <c r="W2" s="5" t="s">
        <v>56</v>
      </c>
      <c r="X2" s="4" t="s">
        <v>43</v>
      </c>
      <c r="Y2" s="5" t="s">
        <v>44</v>
      </c>
      <c r="Z2" s="4" t="s">
        <v>57</v>
      </c>
      <c r="AA2" s="5" t="s">
        <v>58</v>
      </c>
      <c r="AB2" s="6">
        <v>0.44679999999999997</v>
      </c>
      <c r="AD2" s="7"/>
      <c r="AF2" s="7"/>
      <c r="AG2" s="7"/>
    </row>
    <row r="3" spans="1:33" x14ac:dyDescent="0.2">
      <c r="A3" s="11">
        <v>156</v>
      </c>
      <c r="B3" s="12" t="s">
        <v>28</v>
      </c>
      <c r="C3" s="12">
        <v>43194</v>
      </c>
      <c r="D3" s="4">
        <v>197</v>
      </c>
      <c r="E3" s="5" t="s">
        <v>64</v>
      </c>
      <c r="F3" s="4" t="s">
        <v>67</v>
      </c>
      <c r="G3" s="5" t="s">
        <v>68</v>
      </c>
      <c r="H3" s="4" t="str">
        <f>"000321"</f>
        <v>000321</v>
      </c>
      <c r="I3" s="3">
        <v>43143</v>
      </c>
      <c r="J3" s="4" t="str">
        <f>"000032"</f>
        <v>000032</v>
      </c>
      <c r="K3" s="3">
        <v>43150</v>
      </c>
      <c r="L3" s="4" t="str">
        <f>"000092"</f>
        <v>000092</v>
      </c>
      <c r="M3" s="3">
        <v>43159</v>
      </c>
      <c r="N3" s="4">
        <v>17</v>
      </c>
      <c r="O3" s="4" t="str">
        <f>"000062"</f>
        <v>000062</v>
      </c>
      <c r="P3" s="3">
        <v>43191</v>
      </c>
      <c r="Q3" s="6">
        <v>44.68</v>
      </c>
      <c r="R3" s="6">
        <v>2.2837999999999998</v>
      </c>
      <c r="S3" s="6">
        <v>42.3962</v>
      </c>
      <c r="T3" s="4">
        <v>1</v>
      </c>
      <c r="U3" s="3">
        <v>43194</v>
      </c>
      <c r="V3" s="4">
        <v>9845222227</v>
      </c>
      <c r="W3" s="5" t="s">
        <v>56</v>
      </c>
      <c r="X3" s="4" t="s">
        <v>43</v>
      </c>
      <c r="Y3" s="5" t="s">
        <v>44</v>
      </c>
      <c r="Z3" s="4" t="s">
        <v>57</v>
      </c>
      <c r="AA3" s="5" t="s">
        <v>58</v>
      </c>
      <c r="AB3" s="6">
        <v>0.44679999999999997</v>
      </c>
      <c r="AD3" s="7"/>
      <c r="AF3" s="7"/>
      <c r="AG3" s="7"/>
    </row>
    <row r="4" spans="1:33" x14ac:dyDescent="0.2">
      <c r="A4" s="11">
        <v>157</v>
      </c>
      <c r="B4" s="12" t="s">
        <v>28</v>
      </c>
      <c r="C4" s="12">
        <v>43194</v>
      </c>
      <c r="D4" s="4">
        <v>197</v>
      </c>
      <c r="E4" s="5" t="s">
        <v>64</v>
      </c>
      <c r="F4" s="4" t="s">
        <v>69</v>
      </c>
      <c r="G4" s="5" t="s">
        <v>70</v>
      </c>
      <c r="H4" s="4" t="str">
        <f>"000322"</f>
        <v>000322</v>
      </c>
      <c r="I4" s="3">
        <v>43143</v>
      </c>
      <c r="J4" s="4" t="str">
        <f>"000031"</f>
        <v>000031</v>
      </c>
      <c r="K4" s="3">
        <v>43150</v>
      </c>
      <c r="L4" s="4" t="str">
        <f>"000131"</f>
        <v>000131</v>
      </c>
      <c r="M4" s="3">
        <v>43164</v>
      </c>
      <c r="N4" s="4">
        <v>17</v>
      </c>
      <c r="O4" s="4" t="str">
        <f>"000096"</f>
        <v>000096</v>
      </c>
      <c r="P4" s="3">
        <v>43191</v>
      </c>
      <c r="Q4" s="6">
        <v>19.382999999999999</v>
      </c>
      <c r="R4" s="6">
        <v>0.96150000000000002</v>
      </c>
      <c r="S4" s="6">
        <v>18.421500000000002</v>
      </c>
      <c r="T4" s="4">
        <v>1</v>
      </c>
      <c r="U4" s="3">
        <v>43194</v>
      </c>
      <c r="V4" s="4">
        <v>9845222227</v>
      </c>
      <c r="W4" s="5" t="s">
        <v>56</v>
      </c>
      <c r="X4" s="4" t="s">
        <v>43</v>
      </c>
      <c r="Y4" s="5" t="s">
        <v>44</v>
      </c>
      <c r="Z4" s="4" t="s">
        <v>57</v>
      </c>
      <c r="AA4" s="5" t="s">
        <v>58</v>
      </c>
      <c r="AB4" s="6">
        <v>0.19383</v>
      </c>
      <c r="AD4" s="7"/>
      <c r="AF4" s="7"/>
      <c r="AG4" s="7"/>
    </row>
    <row r="5" spans="1:33" x14ac:dyDescent="0.2">
      <c r="A5" s="11">
        <v>276</v>
      </c>
      <c r="B5" s="12" t="s">
        <v>28</v>
      </c>
      <c r="C5" s="12">
        <v>43196</v>
      </c>
      <c r="D5" s="4">
        <v>197</v>
      </c>
      <c r="E5" s="5" t="s">
        <v>64</v>
      </c>
      <c r="F5" s="4" t="s">
        <v>71</v>
      </c>
      <c r="G5" s="5" t="s">
        <v>72</v>
      </c>
      <c r="H5" s="4" t="str">
        <f>"000323"</f>
        <v>000323</v>
      </c>
      <c r="I5" s="3">
        <v>43143</v>
      </c>
      <c r="J5" s="4" t="str">
        <f>"000060"</f>
        <v>000060</v>
      </c>
      <c r="K5" s="3">
        <v>43171</v>
      </c>
      <c r="L5" s="4" t="str">
        <f>"000146"</f>
        <v>000146</v>
      </c>
      <c r="M5" s="3">
        <v>43174</v>
      </c>
      <c r="N5" s="4">
        <v>17</v>
      </c>
      <c r="O5" s="4" t="str">
        <f>"000327"</f>
        <v>000327</v>
      </c>
      <c r="P5" s="3">
        <v>43196</v>
      </c>
      <c r="Q5" s="6">
        <v>3.84</v>
      </c>
      <c r="R5" s="6">
        <v>0.13464999999999999</v>
      </c>
      <c r="S5" s="6">
        <v>3.7053500000000001</v>
      </c>
      <c r="T5" s="4">
        <v>7</v>
      </c>
      <c r="U5" s="3">
        <v>43196</v>
      </c>
      <c r="V5" s="4">
        <v>9845222227</v>
      </c>
      <c r="W5" s="5" t="s">
        <v>56</v>
      </c>
      <c r="X5" s="4" t="s">
        <v>43</v>
      </c>
      <c r="Y5" s="5" t="s">
        <v>44</v>
      </c>
      <c r="Z5" s="4" t="s">
        <v>57</v>
      </c>
      <c r="AA5" s="5" t="s">
        <v>58</v>
      </c>
      <c r="AB5" s="6">
        <v>3.8399999999999997E-2</v>
      </c>
      <c r="AD5" s="7"/>
      <c r="AF5" s="7"/>
      <c r="AG5" s="7"/>
    </row>
    <row r="6" spans="1:33" x14ac:dyDescent="0.2">
      <c r="A6" s="11">
        <v>483</v>
      </c>
      <c r="B6" s="12" t="s">
        <v>28</v>
      </c>
      <c r="C6" s="12">
        <v>43200</v>
      </c>
      <c r="D6" s="4">
        <v>197</v>
      </c>
      <c r="E6" s="5" t="s">
        <v>64</v>
      </c>
      <c r="F6" s="4" t="s">
        <v>73</v>
      </c>
      <c r="G6" s="5" t="s">
        <v>74</v>
      </c>
      <c r="H6" s="4" t="str">
        <f>"000218"</f>
        <v>000218</v>
      </c>
      <c r="I6" s="3">
        <v>43124</v>
      </c>
      <c r="J6" s="4" t="str">
        <f>"000059"</f>
        <v>000059</v>
      </c>
      <c r="K6" s="3">
        <v>43171</v>
      </c>
      <c r="L6" s="4" t="str">
        <f>"000147"</f>
        <v>000147</v>
      </c>
      <c r="M6" s="3">
        <v>43174</v>
      </c>
      <c r="N6" s="4">
        <v>17</v>
      </c>
      <c r="O6" s="4" t="str">
        <f>"000423"</f>
        <v>000423</v>
      </c>
      <c r="P6" s="3">
        <v>43199</v>
      </c>
      <c r="Q6" s="6">
        <v>1.3290999999999999</v>
      </c>
      <c r="R6" s="6">
        <v>0.1096</v>
      </c>
      <c r="S6" s="6">
        <v>1.2195</v>
      </c>
      <c r="T6" s="4">
        <v>13</v>
      </c>
      <c r="U6" s="3">
        <v>43200</v>
      </c>
      <c r="V6" s="4">
        <v>9620350580</v>
      </c>
      <c r="W6" s="5" t="s">
        <v>75</v>
      </c>
      <c r="X6" s="4" t="s">
        <v>37</v>
      </c>
      <c r="Y6" s="5" t="s">
        <v>38</v>
      </c>
      <c r="Z6" s="4" t="s">
        <v>57</v>
      </c>
      <c r="AA6" s="5" t="s">
        <v>58</v>
      </c>
      <c r="AB6" s="6">
        <v>1.3290999999999999E-2</v>
      </c>
      <c r="AD6" s="7"/>
      <c r="AF6" s="7"/>
      <c r="AG6" s="7"/>
    </row>
    <row r="7" spans="1:33" x14ac:dyDescent="0.2">
      <c r="A7" s="11">
        <v>648</v>
      </c>
      <c r="B7" s="12" t="s">
        <v>28</v>
      </c>
      <c r="C7" s="12">
        <v>43214</v>
      </c>
      <c r="D7" s="4">
        <v>197</v>
      </c>
      <c r="E7" s="5" t="s">
        <v>64</v>
      </c>
      <c r="F7" s="4" t="s">
        <v>76</v>
      </c>
      <c r="G7" s="5" t="s">
        <v>77</v>
      </c>
      <c r="H7" s="4" t="str">
        <f>"000218"</f>
        <v>000218</v>
      </c>
      <c r="I7" s="3">
        <v>42411</v>
      </c>
      <c r="J7" s="4" t="str">
        <f>"000020"</f>
        <v>000020</v>
      </c>
      <c r="K7" s="3">
        <v>42580</v>
      </c>
      <c r="L7" s="4" t="str">
        <f>"000080"</f>
        <v>000080</v>
      </c>
      <c r="M7" s="3">
        <v>42581</v>
      </c>
      <c r="N7" s="4">
        <v>16</v>
      </c>
      <c r="O7" s="4" t="str">
        <f>"000528"</f>
        <v>000528</v>
      </c>
      <c r="P7" s="3">
        <v>43203</v>
      </c>
      <c r="Q7" s="6">
        <v>29.535</v>
      </c>
      <c r="R7" s="6">
        <v>4.0573499999999996</v>
      </c>
      <c r="S7" s="6">
        <v>25.477650000000001</v>
      </c>
      <c r="T7" s="4">
        <v>23</v>
      </c>
      <c r="U7" s="3">
        <v>43214</v>
      </c>
      <c r="V7" s="4">
        <v>9900155965</v>
      </c>
      <c r="W7" s="5" t="s">
        <v>78</v>
      </c>
      <c r="X7" s="4" t="s">
        <v>30</v>
      </c>
      <c r="Y7" s="5" t="s">
        <v>31</v>
      </c>
      <c r="Z7" s="4" t="s">
        <v>57</v>
      </c>
      <c r="AA7" s="5" t="s">
        <v>58</v>
      </c>
      <c r="AB7" s="6">
        <v>0.29535</v>
      </c>
      <c r="AD7" s="7"/>
      <c r="AF7" s="7"/>
      <c r="AG7" s="7"/>
    </row>
    <row r="8" spans="1:33" x14ac:dyDescent="0.2">
      <c r="A8" s="11">
        <v>1276</v>
      </c>
      <c r="B8" s="12" t="s">
        <v>35</v>
      </c>
      <c r="C8" s="12">
        <v>43238</v>
      </c>
      <c r="D8" s="4">
        <v>197</v>
      </c>
      <c r="E8" s="5" t="s">
        <v>64</v>
      </c>
      <c r="F8" s="4" t="s">
        <v>79</v>
      </c>
      <c r="G8" s="5" t="s">
        <v>80</v>
      </c>
      <c r="H8" s="4" t="str">
        <f>"000052"</f>
        <v>000052</v>
      </c>
      <c r="I8" s="3">
        <v>42511</v>
      </c>
      <c r="J8" s="4" t="str">
        <f>"000039"</f>
        <v>000039</v>
      </c>
      <c r="K8" s="3">
        <v>42605</v>
      </c>
      <c r="L8" s="4" t="str">
        <f>"000115"</f>
        <v>000115</v>
      </c>
      <c r="M8" s="3">
        <v>42605</v>
      </c>
      <c r="N8" s="4">
        <v>16</v>
      </c>
      <c r="O8" s="4" t="str">
        <f>"001416"</f>
        <v>001416</v>
      </c>
      <c r="P8" s="3">
        <v>43236</v>
      </c>
      <c r="Q8" s="6">
        <v>23.7317</v>
      </c>
      <c r="R8" s="6">
        <v>3.2628499999999998</v>
      </c>
      <c r="S8" s="6">
        <v>20.46885</v>
      </c>
      <c r="T8" s="4">
        <v>52</v>
      </c>
      <c r="U8" s="3">
        <v>43238</v>
      </c>
      <c r="V8" s="4">
        <v>9900197571</v>
      </c>
      <c r="W8" s="5" t="s">
        <v>81</v>
      </c>
      <c r="X8" s="4" t="s">
        <v>50</v>
      </c>
      <c r="Y8" s="5" t="s">
        <v>51</v>
      </c>
      <c r="Z8" s="4" t="s">
        <v>57</v>
      </c>
      <c r="AA8" s="5" t="s">
        <v>58</v>
      </c>
      <c r="AB8" s="6">
        <v>0.237317</v>
      </c>
      <c r="AD8" s="7"/>
      <c r="AF8" s="7"/>
      <c r="AG8" s="7"/>
    </row>
    <row r="9" spans="1:33" x14ac:dyDescent="0.2">
      <c r="A9" s="11">
        <v>1595</v>
      </c>
      <c r="B9" s="12" t="s">
        <v>35</v>
      </c>
      <c r="C9" s="12">
        <v>43251</v>
      </c>
      <c r="D9" s="4">
        <v>197</v>
      </c>
      <c r="E9" s="5" t="s">
        <v>64</v>
      </c>
      <c r="F9" s="4" t="s">
        <v>82</v>
      </c>
      <c r="G9" s="5" t="s">
        <v>83</v>
      </c>
      <c r="H9" s="4" t="str">
        <f>"000083"</f>
        <v>000083</v>
      </c>
      <c r="I9" s="3">
        <v>42516</v>
      </c>
      <c r="J9" s="4" t="str">
        <f>"000043"</f>
        <v>000043</v>
      </c>
      <c r="K9" s="3">
        <v>42605</v>
      </c>
      <c r="L9" s="4" t="str">
        <f>"000128"</f>
        <v>000128</v>
      </c>
      <c r="M9" s="3">
        <v>42612</v>
      </c>
      <c r="N9" s="4">
        <v>16</v>
      </c>
      <c r="O9" s="4" t="str">
        <f>"001697"</f>
        <v>001697</v>
      </c>
      <c r="P9" s="3">
        <v>43242</v>
      </c>
      <c r="Q9" s="6">
        <v>32.982599999999998</v>
      </c>
      <c r="R9" s="6">
        <v>4.8160999999999996</v>
      </c>
      <c r="S9" s="6">
        <v>28.166499999999999</v>
      </c>
      <c r="T9" s="4">
        <v>67</v>
      </c>
      <c r="U9" s="3">
        <v>43251</v>
      </c>
      <c r="V9" s="4">
        <v>9880545654</v>
      </c>
      <c r="W9" s="5" t="s">
        <v>61</v>
      </c>
      <c r="X9" s="4" t="s">
        <v>50</v>
      </c>
      <c r="Y9" s="5" t="s">
        <v>51</v>
      </c>
      <c r="Z9" s="4" t="s">
        <v>57</v>
      </c>
      <c r="AA9" s="5" t="s">
        <v>58</v>
      </c>
      <c r="AB9" s="6">
        <v>0.32982599999999995</v>
      </c>
      <c r="AD9" s="7"/>
      <c r="AF9" s="7"/>
      <c r="AG9" s="7"/>
    </row>
    <row r="10" spans="1:33" x14ac:dyDescent="0.2">
      <c r="A10" s="11">
        <v>1596</v>
      </c>
      <c r="B10" s="12" t="s">
        <v>35</v>
      </c>
      <c r="C10" s="12">
        <v>43251</v>
      </c>
      <c r="D10" s="4">
        <v>197</v>
      </c>
      <c r="E10" s="5" t="s">
        <v>64</v>
      </c>
      <c r="F10" s="4" t="s">
        <v>84</v>
      </c>
      <c r="G10" s="5" t="s">
        <v>85</v>
      </c>
      <c r="H10" s="4" t="str">
        <f>"000038"</f>
        <v>000038</v>
      </c>
      <c r="I10" s="3">
        <v>42506</v>
      </c>
      <c r="J10" s="4" t="str">
        <f>"000129"</f>
        <v>000129</v>
      </c>
      <c r="K10" s="3">
        <v>42612</v>
      </c>
      <c r="L10" s="4" t="str">
        <f>"000129"</f>
        <v>000129</v>
      </c>
      <c r="M10" s="3">
        <v>42612</v>
      </c>
      <c r="N10" s="4">
        <v>16</v>
      </c>
      <c r="O10" s="4" t="str">
        <f>"001698"</f>
        <v>001698</v>
      </c>
      <c r="P10" s="3">
        <v>43242</v>
      </c>
      <c r="Q10" s="6">
        <v>23.692399999999999</v>
      </c>
      <c r="R10" s="6">
        <v>3.4824999999999999</v>
      </c>
      <c r="S10" s="6">
        <v>20.209900000000001</v>
      </c>
      <c r="T10" s="4">
        <v>67</v>
      </c>
      <c r="U10" s="3">
        <v>43251</v>
      </c>
      <c r="V10" s="4">
        <v>9880545654</v>
      </c>
      <c r="W10" s="5" t="s">
        <v>86</v>
      </c>
      <c r="X10" s="4" t="s">
        <v>50</v>
      </c>
      <c r="Y10" s="5" t="s">
        <v>51</v>
      </c>
      <c r="Z10" s="4" t="s">
        <v>57</v>
      </c>
      <c r="AA10" s="5" t="s">
        <v>58</v>
      </c>
      <c r="AB10" s="6">
        <v>0.236924</v>
      </c>
      <c r="AD10" s="7"/>
      <c r="AF10" s="7"/>
      <c r="AG10" s="7"/>
    </row>
    <row r="11" spans="1:33" x14ac:dyDescent="0.2">
      <c r="A11" s="11">
        <v>1942</v>
      </c>
      <c r="B11" s="12" t="s">
        <v>42</v>
      </c>
      <c r="C11" s="12">
        <v>43257</v>
      </c>
      <c r="D11" s="4">
        <v>197</v>
      </c>
      <c r="E11" s="5" t="s">
        <v>64</v>
      </c>
      <c r="F11" s="4" t="s">
        <v>87</v>
      </c>
      <c r="G11" s="5" t="s">
        <v>88</v>
      </c>
      <c r="H11" s="4" t="str">
        <f>"000041"</f>
        <v>000041</v>
      </c>
      <c r="I11" s="3">
        <v>42506</v>
      </c>
      <c r="J11" s="4" t="str">
        <f>"000044"</f>
        <v>000044</v>
      </c>
      <c r="K11" s="3">
        <v>42605</v>
      </c>
      <c r="L11" s="4" t="str">
        <f>"000144"</f>
        <v>000144</v>
      </c>
      <c r="M11" s="3">
        <v>42625</v>
      </c>
      <c r="N11" s="4">
        <v>16</v>
      </c>
      <c r="O11" s="4" t="str">
        <f>"002123"</f>
        <v>002123</v>
      </c>
      <c r="P11" s="3">
        <v>43253</v>
      </c>
      <c r="Q11" s="6">
        <v>13.986000000000001</v>
      </c>
      <c r="R11" s="6">
        <v>1.9343999999999999</v>
      </c>
      <c r="S11" s="6">
        <v>12.051600000000001</v>
      </c>
      <c r="T11" s="4">
        <v>71</v>
      </c>
      <c r="U11" s="3">
        <v>43257</v>
      </c>
      <c r="V11" s="4">
        <v>9986096015</v>
      </c>
      <c r="W11" s="5" t="s">
        <v>63</v>
      </c>
      <c r="X11" s="4" t="s">
        <v>50</v>
      </c>
      <c r="Y11" s="5" t="s">
        <v>51</v>
      </c>
      <c r="Z11" s="4" t="s">
        <v>57</v>
      </c>
      <c r="AA11" s="5" t="s">
        <v>58</v>
      </c>
      <c r="AB11" s="6">
        <v>0.13986000000000001</v>
      </c>
      <c r="AD11" s="7"/>
      <c r="AF11" s="7"/>
      <c r="AG11" s="7"/>
    </row>
    <row r="12" spans="1:33" x14ac:dyDescent="0.2">
      <c r="A12" s="11">
        <v>1943</v>
      </c>
      <c r="B12" s="12" t="s">
        <v>42</v>
      </c>
      <c r="C12" s="12">
        <v>43257</v>
      </c>
      <c r="D12" s="4">
        <v>197</v>
      </c>
      <c r="E12" s="5" t="s">
        <v>64</v>
      </c>
      <c r="F12" s="4" t="s">
        <v>89</v>
      </c>
      <c r="G12" s="5" t="s">
        <v>90</v>
      </c>
      <c r="H12" s="4" t="str">
        <f>"000039"</f>
        <v>000039</v>
      </c>
      <c r="I12" s="3">
        <v>42506</v>
      </c>
      <c r="J12" s="4" t="str">
        <f>"000051"</f>
        <v>000051</v>
      </c>
      <c r="K12" s="3">
        <v>42605</v>
      </c>
      <c r="L12" s="4" t="str">
        <f>"000145"</f>
        <v>000145</v>
      </c>
      <c r="M12" s="3">
        <v>42625</v>
      </c>
      <c r="N12" s="4">
        <v>16</v>
      </c>
      <c r="O12" s="4" t="str">
        <f>"002124"</f>
        <v>002124</v>
      </c>
      <c r="P12" s="3">
        <v>43253</v>
      </c>
      <c r="Q12" s="6">
        <v>23.889600000000002</v>
      </c>
      <c r="R12" s="6">
        <v>3.5121000000000002</v>
      </c>
      <c r="S12" s="6">
        <v>20.377500000000001</v>
      </c>
      <c r="T12" s="4">
        <v>71</v>
      </c>
      <c r="U12" s="3">
        <v>43257</v>
      </c>
      <c r="V12" s="4">
        <v>9880545654</v>
      </c>
      <c r="W12" s="5" t="s">
        <v>61</v>
      </c>
      <c r="X12" s="4" t="s">
        <v>50</v>
      </c>
      <c r="Y12" s="5" t="s">
        <v>51</v>
      </c>
      <c r="Z12" s="4" t="s">
        <v>57</v>
      </c>
      <c r="AA12" s="5" t="s">
        <v>58</v>
      </c>
      <c r="AB12" s="6">
        <v>0.23889600000000002</v>
      </c>
      <c r="AD12" s="7"/>
      <c r="AF12" s="7"/>
      <c r="AG12" s="7"/>
    </row>
    <row r="13" spans="1:33" x14ac:dyDescent="0.2">
      <c r="A13" s="11">
        <v>1944</v>
      </c>
      <c r="B13" s="12" t="s">
        <v>42</v>
      </c>
      <c r="C13" s="12">
        <v>43257</v>
      </c>
      <c r="D13" s="4">
        <v>197</v>
      </c>
      <c r="E13" s="5" t="s">
        <v>64</v>
      </c>
      <c r="F13" s="4" t="s">
        <v>91</v>
      </c>
      <c r="G13" s="5" t="s">
        <v>92</v>
      </c>
      <c r="H13" s="4" t="str">
        <f>"000040"</f>
        <v>000040</v>
      </c>
      <c r="I13" s="3">
        <v>42506</v>
      </c>
      <c r="J13" s="4" t="str">
        <f>"000052"</f>
        <v>000052</v>
      </c>
      <c r="K13" s="3">
        <v>42605</v>
      </c>
      <c r="L13" s="4" t="str">
        <f>"000147"</f>
        <v>000147</v>
      </c>
      <c r="M13" s="3">
        <v>42625</v>
      </c>
      <c r="N13" s="4">
        <v>16</v>
      </c>
      <c r="O13" s="4" t="str">
        <f>"002125"</f>
        <v>002125</v>
      </c>
      <c r="P13" s="3">
        <v>43253</v>
      </c>
      <c r="Q13" s="6">
        <v>19.141100000000002</v>
      </c>
      <c r="R13" s="6">
        <v>2.8132999999999999</v>
      </c>
      <c r="S13" s="6">
        <v>16.3278</v>
      </c>
      <c r="T13" s="4">
        <v>71</v>
      </c>
      <c r="U13" s="3">
        <v>43257</v>
      </c>
      <c r="V13" s="4">
        <v>9880545654</v>
      </c>
      <c r="W13" s="5" t="s">
        <v>61</v>
      </c>
      <c r="X13" s="4" t="s">
        <v>50</v>
      </c>
      <c r="Y13" s="5" t="s">
        <v>51</v>
      </c>
      <c r="Z13" s="4" t="s">
        <v>57</v>
      </c>
      <c r="AA13" s="5" t="s">
        <v>58</v>
      </c>
      <c r="AB13" s="6">
        <v>0.19141100000000003</v>
      </c>
      <c r="AD13" s="7"/>
      <c r="AF13" s="7"/>
      <c r="AG13" s="7"/>
    </row>
    <row r="14" spans="1:33" x14ac:dyDescent="0.2">
      <c r="A14" s="11">
        <v>1945</v>
      </c>
      <c r="B14" s="12" t="s">
        <v>42</v>
      </c>
      <c r="C14" s="12">
        <v>43257</v>
      </c>
      <c r="D14" s="4">
        <v>197</v>
      </c>
      <c r="E14" s="5" t="s">
        <v>64</v>
      </c>
      <c r="F14" s="4" t="s">
        <v>93</v>
      </c>
      <c r="G14" s="5" t="s">
        <v>94</v>
      </c>
      <c r="H14" s="4" t="str">
        <f>"000042"</f>
        <v>000042</v>
      </c>
      <c r="I14" s="3">
        <v>42506</v>
      </c>
      <c r="J14" s="4" t="str">
        <f>"000053"</f>
        <v>000053</v>
      </c>
      <c r="K14" s="3">
        <v>42605</v>
      </c>
      <c r="L14" s="4" t="str">
        <f>"000148"</f>
        <v>000148</v>
      </c>
      <c r="M14" s="3">
        <v>42625</v>
      </c>
      <c r="N14" s="4">
        <v>16</v>
      </c>
      <c r="O14" s="4" t="str">
        <f>"002126"</f>
        <v>002126</v>
      </c>
      <c r="P14" s="3">
        <v>43253</v>
      </c>
      <c r="Q14" s="6">
        <v>28.585599999999999</v>
      </c>
      <c r="R14" s="6">
        <v>4.1768000000000001</v>
      </c>
      <c r="S14" s="6">
        <v>24.408799999999999</v>
      </c>
      <c r="T14" s="4">
        <v>71</v>
      </c>
      <c r="U14" s="3">
        <v>43257</v>
      </c>
      <c r="V14" s="4">
        <v>9880545654</v>
      </c>
      <c r="W14" s="5" t="s">
        <v>86</v>
      </c>
      <c r="X14" s="4" t="s">
        <v>50</v>
      </c>
      <c r="Y14" s="5" t="s">
        <v>51</v>
      </c>
      <c r="Z14" s="4" t="s">
        <v>57</v>
      </c>
      <c r="AA14" s="5" t="s">
        <v>58</v>
      </c>
      <c r="AB14" s="6">
        <v>0.285856</v>
      </c>
      <c r="AD14" s="7"/>
      <c r="AF14" s="7"/>
      <c r="AG14" s="7"/>
    </row>
    <row r="15" spans="1:33" x14ac:dyDescent="0.2">
      <c r="A15" s="11">
        <v>2071</v>
      </c>
      <c r="B15" s="12" t="s">
        <v>42</v>
      </c>
      <c r="C15" s="12">
        <v>43262</v>
      </c>
      <c r="D15" s="4">
        <v>197</v>
      </c>
      <c r="E15" s="5" t="s">
        <v>64</v>
      </c>
      <c r="F15" s="4" t="s">
        <v>95</v>
      </c>
      <c r="G15" s="5" t="s">
        <v>96</v>
      </c>
      <c r="H15" s="4" t="str">
        <f>"000a28"</f>
        <v>000a28</v>
      </c>
      <c r="I15" s="3">
        <v>42506</v>
      </c>
      <c r="J15" s="4" t="str">
        <f>"000113"</f>
        <v>000113</v>
      </c>
      <c r="K15" s="3">
        <v>42821</v>
      </c>
      <c r="L15" s="4" t="str">
        <f>"000090"</f>
        <v>000090</v>
      </c>
      <c r="M15" s="3">
        <v>42916</v>
      </c>
      <c r="N15" s="4">
        <v>16</v>
      </c>
      <c r="O15" s="4" t="str">
        <f>"002228"</f>
        <v>002228</v>
      </c>
      <c r="P15" s="3">
        <v>43257</v>
      </c>
      <c r="Q15" s="6">
        <v>9.8493499999999994</v>
      </c>
      <c r="R15" s="6">
        <v>1.204</v>
      </c>
      <c r="S15" s="6">
        <v>8.6453500000000005</v>
      </c>
      <c r="T15" s="4">
        <v>79</v>
      </c>
      <c r="U15" s="3">
        <v>43262</v>
      </c>
      <c r="V15" s="4">
        <v>9480292727</v>
      </c>
      <c r="W15" s="5" t="s">
        <v>97</v>
      </c>
      <c r="X15" s="4" t="s">
        <v>41</v>
      </c>
      <c r="Y15" s="5" t="s">
        <v>40</v>
      </c>
      <c r="Z15" s="4" t="s">
        <v>57</v>
      </c>
      <c r="AA15" s="5" t="s">
        <v>58</v>
      </c>
      <c r="AB15" s="6">
        <v>9.8493499999999998E-2</v>
      </c>
      <c r="AD15" s="7"/>
      <c r="AF15" s="7"/>
      <c r="AG15" s="7"/>
    </row>
    <row r="16" spans="1:33" x14ac:dyDescent="0.2">
      <c r="A16" s="11">
        <v>2072</v>
      </c>
      <c r="B16" s="12" t="s">
        <v>42</v>
      </c>
      <c r="C16" s="12">
        <v>43262</v>
      </c>
      <c r="D16" s="4">
        <v>197</v>
      </c>
      <c r="E16" s="5" t="s">
        <v>64</v>
      </c>
      <c r="F16" s="4" t="s">
        <v>98</v>
      </c>
      <c r="G16" s="5" t="s">
        <v>99</v>
      </c>
      <c r="H16" s="4" t="str">
        <f>"000a75"</f>
        <v>000a75</v>
      </c>
      <c r="I16" s="3">
        <v>42850</v>
      </c>
      <c r="J16" s="4" t="str">
        <f>"000027"</f>
        <v>000027</v>
      </c>
      <c r="K16" s="3">
        <v>42916</v>
      </c>
      <c r="L16" s="4" t="str">
        <f>"000097"</f>
        <v>000097</v>
      </c>
      <c r="M16" s="3">
        <v>42916</v>
      </c>
      <c r="N16" s="4">
        <v>17</v>
      </c>
      <c r="O16" s="4" t="str">
        <f>"002229"</f>
        <v>002229</v>
      </c>
      <c r="P16" s="3">
        <v>43257</v>
      </c>
      <c r="Q16" s="6">
        <v>29.02</v>
      </c>
      <c r="R16" s="6">
        <v>3.6966000000000001</v>
      </c>
      <c r="S16" s="6">
        <v>25.323399999999999</v>
      </c>
      <c r="T16" s="4">
        <v>79</v>
      </c>
      <c r="U16" s="3">
        <v>43262</v>
      </c>
      <c r="V16" s="4">
        <v>9900155965</v>
      </c>
      <c r="W16" s="5" t="s">
        <v>100</v>
      </c>
      <c r="X16" s="4" t="s">
        <v>41</v>
      </c>
      <c r="Y16" s="5" t="s">
        <v>40</v>
      </c>
      <c r="Z16" s="4" t="s">
        <v>57</v>
      </c>
      <c r="AA16" s="5" t="s">
        <v>58</v>
      </c>
      <c r="AB16" s="6">
        <v>0.29020000000000001</v>
      </c>
      <c r="AD16" s="7"/>
      <c r="AF16" s="7"/>
      <c r="AG16" s="7"/>
    </row>
    <row r="17" spans="1:33" x14ac:dyDescent="0.2">
      <c r="A17" s="11">
        <v>2073</v>
      </c>
      <c r="B17" s="12" t="s">
        <v>42</v>
      </c>
      <c r="C17" s="12">
        <v>43262</v>
      </c>
      <c r="D17" s="4">
        <v>197</v>
      </c>
      <c r="E17" s="5" t="s">
        <v>64</v>
      </c>
      <c r="F17" s="4" t="s">
        <v>101</v>
      </c>
      <c r="G17" s="5" t="s">
        <v>102</v>
      </c>
      <c r="H17" s="4" t="str">
        <f>"000201"</f>
        <v>000201</v>
      </c>
      <c r="I17" s="3">
        <v>42803</v>
      </c>
      <c r="J17" s="4" t="str">
        <f>"000029"</f>
        <v>000029</v>
      </c>
      <c r="K17" s="3">
        <v>42916</v>
      </c>
      <c r="L17" s="4" t="str">
        <f>"000099"</f>
        <v>000099</v>
      </c>
      <c r="M17" s="3">
        <v>42916</v>
      </c>
      <c r="N17" s="4">
        <v>17</v>
      </c>
      <c r="O17" s="4" t="str">
        <f>"002231"</f>
        <v>002231</v>
      </c>
      <c r="P17" s="3">
        <v>43257</v>
      </c>
      <c r="Q17" s="6">
        <v>10.222</v>
      </c>
      <c r="R17" s="6">
        <v>1.2503</v>
      </c>
      <c r="S17" s="6">
        <v>8.9717000000000002</v>
      </c>
      <c r="T17" s="4">
        <v>79</v>
      </c>
      <c r="U17" s="3">
        <v>43262</v>
      </c>
      <c r="V17" s="4">
        <v>9900155965</v>
      </c>
      <c r="W17" s="5" t="s">
        <v>100</v>
      </c>
      <c r="X17" s="4" t="s">
        <v>30</v>
      </c>
      <c r="Y17" s="5" t="s">
        <v>31</v>
      </c>
      <c r="Z17" s="4" t="s">
        <v>57</v>
      </c>
      <c r="AA17" s="5" t="s">
        <v>58</v>
      </c>
      <c r="AB17" s="6">
        <v>0.10221999999999999</v>
      </c>
      <c r="AD17" s="7"/>
      <c r="AF17" s="7"/>
      <c r="AG17" s="7"/>
    </row>
    <row r="18" spans="1:33" x14ac:dyDescent="0.2">
      <c r="A18" s="11">
        <v>2966</v>
      </c>
      <c r="B18" s="12" t="s">
        <v>32</v>
      </c>
      <c r="C18" s="12">
        <v>43283</v>
      </c>
      <c r="D18" s="4">
        <v>197</v>
      </c>
      <c r="E18" s="5" t="s">
        <v>64</v>
      </c>
      <c r="F18" s="4" t="s">
        <v>103</v>
      </c>
      <c r="G18" s="5" t="s">
        <v>104</v>
      </c>
      <c r="H18" s="4" t="str">
        <f>"000256"</f>
        <v>000256</v>
      </c>
      <c r="I18" s="3">
        <v>43138</v>
      </c>
      <c r="J18" s="4" t="str">
        <f>"000005"</f>
        <v>000005</v>
      </c>
      <c r="K18" s="3">
        <v>43201</v>
      </c>
      <c r="L18" s="4" t="str">
        <f>"000006"</f>
        <v>000006</v>
      </c>
      <c r="M18" s="3">
        <v>43215</v>
      </c>
      <c r="N18" s="4">
        <v>17</v>
      </c>
      <c r="O18" s="4" t="str">
        <f>"003149"</f>
        <v>003149</v>
      </c>
      <c r="P18" s="3">
        <v>43280</v>
      </c>
      <c r="Q18" s="6">
        <v>29.984999999999999</v>
      </c>
      <c r="R18" s="6">
        <v>3.7585999999999999</v>
      </c>
      <c r="S18" s="6">
        <v>26.226400000000002</v>
      </c>
      <c r="T18" s="4">
        <v>105</v>
      </c>
      <c r="U18" s="3">
        <v>43283</v>
      </c>
      <c r="V18" s="4">
        <v>9986096015</v>
      </c>
      <c r="W18" s="5" t="s">
        <v>47</v>
      </c>
      <c r="X18" s="4" t="s">
        <v>50</v>
      </c>
      <c r="Y18" s="5" t="s">
        <v>51</v>
      </c>
      <c r="Z18" s="4" t="s">
        <v>57</v>
      </c>
      <c r="AA18" s="5" t="s">
        <v>58</v>
      </c>
      <c r="AB18" s="6">
        <v>0.29985000000000001</v>
      </c>
      <c r="AD18" s="7"/>
      <c r="AF18" s="7"/>
      <c r="AG18" s="7"/>
    </row>
    <row r="19" spans="1:33" x14ac:dyDescent="0.2">
      <c r="A19" s="11">
        <v>3356</v>
      </c>
      <c r="B19" s="12" t="s">
        <v>32</v>
      </c>
      <c r="C19" s="12">
        <v>43297</v>
      </c>
      <c r="D19" s="4">
        <v>197</v>
      </c>
      <c r="E19" s="5" t="s">
        <v>64</v>
      </c>
      <c r="F19" s="4" t="s">
        <v>105</v>
      </c>
      <c r="G19" s="5" t="s">
        <v>106</v>
      </c>
      <c r="H19" s="4" t="str">
        <f>"000082"</f>
        <v>000082</v>
      </c>
      <c r="I19" s="3">
        <v>42516</v>
      </c>
      <c r="J19" s="4" t="str">
        <f>"000017"</f>
        <v>000017</v>
      </c>
      <c r="K19" s="3">
        <v>42580</v>
      </c>
      <c r="L19" s="4" t="str">
        <f>"000143"</f>
        <v>000143</v>
      </c>
      <c r="M19" s="3">
        <v>42625</v>
      </c>
      <c r="N19" s="4">
        <v>16</v>
      </c>
      <c r="O19" s="4" t="str">
        <f>"003499"</f>
        <v>003499</v>
      </c>
      <c r="P19" s="3">
        <v>43291</v>
      </c>
      <c r="Q19" s="6">
        <v>38.287500000000001</v>
      </c>
      <c r="R19" s="6">
        <v>5.2683</v>
      </c>
      <c r="S19" s="6">
        <v>33.019199999999998</v>
      </c>
      <c r="T19" s="4">
        <v>125</v>
      </c>
      <c r="U19" s="3">
        <v>43297</v>
      </c>
      <c r="V19" s="4">
        <v>9845222227</v>
      </c>
      <c r="W19" s="5" t="s">
        <v>61</v>
      </c>
      <c r="X19" s="4" t="s">
        <v>50</v>
      </c>
      <c r="Y19" s="5" t="s">
        <v>51</v>
      </c>
      <c r="Z19" s="4" t="s">
        <v>57</v>
      </c>
      <c r="AA19" s="5" t="s">
        <v>58</v>
      </c>
      <c r="AB19" s="6">
        <v>0.38287500000000002</v>
      </c>
      <c r="AD19" s="7"/>
      <c r="AF19" s="7"/>
      <c r="AG19" s="7"/>
    </row>
    <row r="20" spans="1:33" x14ac:dyDescent="0.2">
      <c r="A20" s="11">
        <v>3802</v>
      </c>
      <c r="B20" s="12" t="s">
        <v>32</v>
      </c>
      <c r="C20" s="12">
        <v>43301</v>
      </c>
      <c r="D20" s="4">
        <v>197</v>
      </c>
      <c r="E20" s="5" t="s">
        <v>64</v>
      </c>
      <c r="F20" s="4" t="s">
        <v>107</v>
      </c>
      <c r="G20" s="5" t="s">
        <v>108</v>
      </c>
      <c r="H20" s="4" t="str">
        <f>"000014"</f>
        <v>000014</v>
      </c>
      <c r="I20" s="3">
        <v>43191</v>
      </c>
      <c r="J20" s="4" t="str">
        <f>"000025"</f>
        <v>000025</v>
      </c>
      <c r="K20" s="3">
        <v>43333</v>
      </c>
      <c r="L20" s="4" t="str">
        <f>"000024"</f>
        <v>000024</v>
      </c>
      <c r="M20" s="3">
        <v>43333</v>
      </c>
      <c r="N20" s="4">
        <v>16</v>
      </c>
      <c r="O20" s="4" t="str">
        <f>""</f>
        <v/>
      </c>
      <c r="P20" s="3"/>
      <c r="Q20" s="6">
        <v>14.102819999999999</v>
      </c>
      <c r="R20" s="6">
        <v>1.8704099999999999</v>
      </c>
      <c r="S20" s="6">
        <v>12.23241</v>
      </c>
      <c r="T20" s="4">
        <v>134</v>
      </c>
      <c r="U20" s="3">
        <v>43301</v>
      </c>
      <c r="V20" s="4">
        <v>9945811466</v>
      </c>
      <c r="W20" s="5" t="s">
        <v>109</v>
      </c>
      <c r="X20" s="4" t="s">
        <v>33</v>
      </c>
      <c r="Y20" s="5" t="s">
        <v>34</v>
      </c>
      <c r="Z20" s="4" t="s">
        <v>54</v>
      </c>
      <c r="AA20" s="5" t="s">
        <v>55</v>
      </c>
      <c r="AB20" s="6">
        <v>0.14102819999999999</v>
      </c>
      <c r="AD20" s="7"/>
      <c r="AF20" s="7"/>
      <c r="AG20" s="7"/>
    </row>
    <row r="21" spans="1:33" x14ac:dyDescent="0.2">
      <c r="A21" s="11">
        <v>3877</v>
      </c>
      <c r="B21" s="12" t="s">
        <v>32</v>
      </c>
      <c r="C21" s="12">
        <v>43304</v>
      </c>
      <c r="D21" s="4">
        <v>197</v>
      </c>
      <c r="E21" s="5" t="s">
        <v>64</v>
      </c>
      <c r="F21" s="4" t="s">
        <v>110</v>
      </c>
      <c r="G21" s="5" t="s">
        <v>111</v>
      </c>
      <c r="H21" s="4" t="str">
        <f>"000129"</f>
        <v>000129</v>
      </c>
      <c r="I21" s="3">
        <v>43080</v>
      </c>
      <c r="J21" s="4" t="str">
        <f>"000014"</f>
        <v>000014</v>
      </c>
      <c r="K21" s="3">
        <v>43224</v>
      </c>
      <c r="L21" s="4" t="str">
        <f>"000055"</f>
        <v>000055</v>
      </c>
      <c r="M21" s="3">
        <v>43239</v>
      </c>
      <c r="N21" s="4">
        <v>17</v>
      </c>
      <c r="O21" s="4" t="str">
        <f>"004070"</f>
        <v>004070</v>
      </c>
      <c r="P21" s="3">
        <v>43301</v>
      </c>
      <c r="Q21" s="6">
        <v>8.8219999999999992</v>
      </c>
      <c r="R21" s="6">
        <v>0.74650000000000005</v>
      </c>
      <c r="S21" s="6">
        <v>8.0754999999999999</v>
      </c>
      <c r="T21" s="4">
        <v>137</v>
      </c>
      <c r="U21" s="3">
        <v>43304</v>
      </c>
      <c r="V21" s="4">
        <v>9845929841</v>
      </c>
      <c r="W21" s="5" t="s">
        <v>62</v>
      </c>
      <c r="X21" s="4" t="s">
        <v>37</v>
      </c>
      <c r="Y21" s="5" t="s">
        <v>38</v>
      </c>
      <c r="Z21" s="4" t="s">
        <v>57</v>
      </c>
      <c r="AA21" s="5" t="s">
        <v>58</v>
      </c>
      <c r="AB21" s="6">
        <v>8.8219999999999993E-2</v>
      </c>
      <c r="AD21" s="7"/>
      <c r="AF21" s="7"/>
      <c r="AG21" s="7"/>
    </row>
    <row r="22" spans="1:33" x14ac:dyDescent="0.2">
      <c r="A22" s="11">
        <v>4332</v>
      </c>
      <c r="B22" s="12" t="s">
        <v>29</v>
      </c>
      <c r="C22" s="12">
        <v>43315</v>
      </c>
      <c r="D22" s="4">
        <v>197</v>
      </c>
      <c r="E22" s="5" t="s">
        <v>64</v>
      </c>
      <c r="F22" s="4" t="s">
        <v>112</v>
      </c>
      <c r="G22" s="5" t="s">
        <v>113</v>
      </c>
      <c r="H22" s="4" t="str">
        <f>"000215"</f>
        <v>000215</v>
      </c>
      <c r="I22" s="3">
        <v>42037</v>
      </c>
      <c r="J22" s="4" t="str">
        <f>"0044"</f>
        <v>0044</v>
      </c>
      <c r="K22" s="3">
        <v>1</v>
      </c>
      <c r="L22" s="4" t="str">
        <f>"000124"</f>
        <v>000124</v>
      </c>
      <c r="M22" s="3">
        <v>42612</v>
      </c>
      <c r="N22" s="4">
        <v>15</v>
      </c>
      <c r="O22" s="4" t="str">
        <f>"004279"</f>
        <v>004279</v>
      </c>
      <c r="P22" s="3">
        <v>43306</v>
      </c>
      <c r="Q22" s="6">
        <v>10.255000000000001</v>
      </c>
      <c r="R22" s="6">
        <v>1.5459000000000001</v>
      </c>
      <c r="S22" s="6">
        <v>8.7090999999999994</v>
      </c>
      <c r="T22" s="4">
        <v>152</v>
      </c>
      <c r="U22" s="3">
        <v>43315</v>
      </c>
      <c r="V22" s="4">
        <v>9986096015</v>
      </c>
      <c r="W22" s="5" t="s">
        <v>114</v>
      </c>
      <c r="X22" s="4" t="s">
        <v>30</v>
      </c>
      <c r="Y22" s="5" t="s">
        <v>31</v>
      </c>
      <c r="Z22" s="4" t="s">
        <v>57</v>
      </c>
      <c r="AA22" s="5" t="s">
        <v>58</v>
      </c>
      <c r="AB22" s="6">
        <v>0.10255</v>
      </c>
      <c r="AD22" s="7"/>
      <c r="AF22" s="7"/>
      <c r="AG22" s="7"/>
    </row>
    <row r="23" spans="1:33" x14ac:dyDescent="0.2">
      <c r="A23" s="11">
        <v>4333</v>
      </c>
      <c r="B23" s="12" t="s">
        <v>29</v>
      </c>
      <c r="C23" s="12">
        <v>43315</v>
      </c>
      <c r="D23" s="4">
        <v>197</v>
      </c>
      <c r="E23" s="5" t="s">
        <v>64</v>
      </c>
      <c r="F23" s="4" t="s">
        <v>115</v>
      </c>
      <c r="G23" s="5" t="s">
        <v>116</v>
      </c>
      <c r="H23" s="4" t="str">
        <f>"000a41"</f>
        <v>000a41</v>
      </c>
      <c r="I23" s="3">
        <v>42506</v>
      </c>
      <c r="J23" s="4" t="str">
        <f>"000046"</f>
        <v>000046</v>
      </c>
      <c r="K23" s="3">
        <v>42605</v>
      </c>
      <c r="L23" s="4" t="str">
        <f>"000146"</f>
        <v>000146</v>
      </c>
      <c r="M23" s="3">
        <v>42625</v>
      </c>
      <c r="N23" s="4">
        <v>16</v>
      </c>
      <c r="O23" s="4" t="str">
        <f>"004548"</f>
        <v>004548</v>
      </c>
      <c r="P23" s="3">
        <v>43309</v>
      </c>
      <c r="Q23" s="6">
        <v>19.675000000000001</v>
      </c>
      <c r="R23" s="6">
        <v>2.5059</v>
      </c>
      <c r="S23" s="6">
        <v>17.1691</v>
      </c>
      <c r="T23" s="4">
        <v>152</v>
      </c>
      <c r="U23" s="3">
        <v>43315</v>
      </c>
      <c r="V23" s="4">
        <v>9986096015</v>
      </c>
      <c r="W23" s="5" t="s">
        <v>114</v>
      </c>
      <c r="X23" s="4" t="s">
        <v>50</v>
      </c>
      <c r="Y23" s="5" t="s">
        <v>51</v>
      </c>
      <c r="Z23" s="4" t="s">
        <v>57</v>
      </c>
      <c r="AA23" s="5" t="s">
        <v>58</v>
      </c>
      <c r="AB23" s="6">
        <v>0.19675000000000001</v>
      </c>
      <c r="AD23" s="7"/>
      <c r="AF23" s="7"/>
      <c r="AG23" s="7"/>
    </row>
    <row r="24" spans="1:33" x14ac:dyDescent="0.2">
      <c r="A24" s="11">
        <v>4911</v>
      </c>
      <c r="B24" s="12" t="s">
        <v>29</v>
      </c>
      <c r="C24" s="12">
        <v>43326</v>
      </c>
      <c r="D24" s="4">
        <v>197</v>
      </c>
      <c r="E24" s="5" t="s">
        <v>64</v>
      </c>
      <c r="F24" s="4" t="s">
        <v>117</v>
      </c>
      <c r="G24" s="5" t="s">
        <v>118</v>
      </c>
      <c r="H24" s="4" t="str">
        <f>"000022"</f>
        <v>000022</v>
      </c>
      <c r="I24" s="3">
        <v>42500</v>
      </c>
      <c r="J24" s="4" t="str">
        <f>"000048"</f>
        <v>000048</v>
      </c>
      <c r="K24" s="3">
        <v>42605</v>
      </c>
      <c r="L24" s="4" t="str">
        <f>"000123"</f>
        <v>000123</v>
      </c>
      <c r="M24" s="3">
        <v>42551</v>
      </c>
      <c r="N24" s="4">
        <v>16</v>
      </c>
      <c r="O24" s="4" t="str">
        <f>"004992"</f>
        <v>004992</v>
      </c>
      <c r="P24" s="3">
        <v>43320</v>
      </c>
      <c r="Q24" s="6">
        <v>22.48</v>
      </c>
      <c r="R24" s="6">
        <v>3.1684999999999999</v>
      </c>
      <c r="S24" s="6">
        <v>19.311499999999999</v>
      </c>
      <c r="T24" s="4">
        <v>170</v>
      </c>
      <c r="U24" s="3">
        <v>43326</v>
      </c>
      <c r="V24" s="4">
        <v>9986096015</v>
      </c>
      <c r="W24" s="5" t="s">
        <v>114</v>
      </c>
      <c r="X24" s="4" t="s">
        <v>30</v>
      </c>
      <c r="Y24" s="5" t="s">
        <v>31</v>
      </c>
      <c r="Z24" s="4" t="s">
        <v>57</v>
      </c>
      <c r="AA24" s="5" t="s">
        <v>58</v>
      </c>
      <c r="AB24" s="6">
        <v>0.2248</v>
      </c>
      <c r="AD24" s="7"/>
      <c r="AF24" s="7"/>
      <c r="AG24" s="7"/>
    </row>
    <row r="25" spans="1:33" x14ac:dyDescent="0.2">
      <c r="A25" s="11">
        <v>4912</v>
      </c>
      <c r="B25" s="12" t="s">
        <v>29</v>
      </c>
      <c r="C25" s="12">
        <v>43326</v>
      </c>
      <c r="D25" s="4">
        <v>197</v>
      </c>
      <c r="E25" s="5" t="s">
        <v>64</v>
      </c>
      <c r="F25" s="4" t="s">
        <v>119</v>
      </c>
      <c r="G25" s="5" t="s">
        <v>120</v>
      </c>
      <c r="H25" s="4" t="str">
        <f>"000a30"</f>
        <v>000a30</v>
      </c>
      <c r="I25" s="3">
        <v>42109</v>
      </c>
      <c r="J25" s="4" t="str">
        <f>"000047"</f>
        <v>000047</v>
      </c>
      <c r="K25" s="3">
        <v>42605</v>
      </c>
      <c r="L25" s="4" t="str">
        <f>"000125"</f>
        <v>000125</v>
      </c>
      <c r="M25" s="3">
        <v>42612</v>
      </c>
      <c r="N25" s="4">
        <v>15</v>
      </c>
      <c r="O25" s="4" t="str">
        <f>"004993"</f>
        <v>004993</v>
      </c>
      <c r="P25" s="3">
        <v>43320</v>
      </c>
      <c r="Q25" s="6">
        <v>10</v>
      </c>
      <c r="R25" s="6">
        <v>1.7709999999999999</v>
      </c>
      <c r="S25" s="6">
        <v>8.2289999999999992</v>
      </c>
      <c r="T25" s="4">
        <v>170</v>
      </c>
      <c r="U25" s="3">
        <v>43326</v>
      </c>
      <c r="V25" s="4">
        <v>9986096015</v>
      </c>
      <c r="W25" s="5" t="s">
        <v>39</v>
      </c>
      <c r="X25" s="4" t="s">
        <v>45</v>
      </c>
      <c r="Y25" s="5" t="s">
        <v>46</v>
      </c>
      <c r="Z25" s="4" t="s">
        <v>57</v>
      </c>
      <c r="AA25" s="5" t="s">
        <v>58</v>
      </c>
      <c r="AB25" s="6">
        <v>0.1</v>
      </c>
      <c r="AD25" s="7"/>
      <c r="AF25" s="7"/>
      <c r="AG25" s="7"/>
    </row>
    <row r="26" spans="1:33" x14ac:dyDescent="0.2">
      <c r="A26" s="11">
        <v>4913</v>
      </c>
      <c r="B26" s="12" t="s">
        <v>29</v>
      </c>
      <c r="C26" s="12">
        <v>43326</v>
      </c>
      <c r="D26" s="4">
        <v>197</v>
      </c>
      <c r="E26" s="5" t="s">
        <v>64</v>
      </c>
      <c r="F26" s="4" t="s">
        <v>121</v>
      </c>
      <c r="G26" s="5" t="s">
        <v>122</v>
      </c>
      <c r="H26" s="4" t="str">
        <f>"00a269"</f>
        <v>00a269</v>
      </c>
      <c r="I26" s="3">
        <v>42483</v>
      </c>
      <c r="J26" s="4" t="str">
        <f>"000042"</f>
        <v>000042</v>
      </c>
      <c r="K26" s="3">
        <v>42605</v>
      </c>
      <c r="L26" s="4" t="str">
        <f>"000127"</f>
        <v>000127</v>
      </c>
      <c r="M26" s="3">
        <v>42612</v>
      </c>
      <c r="N26" s="4">
        <v>16</v>
      </c>
      <c r="O26" s="4" t="str">
        <f>"004994"</f>
        <v>004994</v>
      </c>
      <c r="P26" s="3">
        <v>43320</v>
      </c>
      <c r="Q26" s="6">
        <v>48.99</v>
      </c>
      <c r="R26" s="6">
        <v>8.1334</v>
      </c>
      <c r="S26" s="6">
        <v>40.8566</v>
      </c>
      <c r="T26" s="4">
        <v>170</v>
      </c>
      <c r="U26" s="3">
        <v>43326</v>
      </c>
      <c r="V26" s="4">
        <v>9986096015</v>
      </c>
      <c r="W26" s="5" t="s">
        <v>39</v>
      </c>
      <c r="X26" s="4" t="s">
        <v>48</v>
      </c>
      <c r="Y26" s="5" t="s">
        <v>49</v>
      </c>
      <c r="Z26" s="4" t="s">
        <v>57</v>
      </c>
      <c r="AA26" s="5" t="s">
        <v>58</v>
      </c>
      <c r="AB26" s="6">
        <v>0.4899</v>
      </c>
      <c r="AD26" s="7"/>
      <c r="AF26" s="7"/>
      <c r="AG26" s="7"/>
    </row>
    <row r="27" spans="1:33" x14ac:dyDescent="0.2">
      <c r="A27" s="11">
        <v>4914</v>
      </c>
      <c r="B27" s="12" t="s">
        <v>29</v>
      </c>
      <c r="C27" s="12">
        <v>43326</v>
      </c>
      <c r="D27" s="4">
        <v>197</v>
      </c>
      <c r="E27" s="5" t="s">
        <v>64</v>
      </c>
      <c r="F27" s="4" t="s">
        <v>123</v>
      </c>
      <c r="G27" s="5" t="s">
        <v>124</v>
      </c>
      <c r="H27" s="4" t="str">
        <f>"000271"</f>
        <v>000271</v>
      </c>
      <c r="I27" s="3">
        <v>42483</v>
      </c>
      <c r="J27" s="4" t="str">
        <f>"000054"</f>
        <v>000054</v>
      </c>
      <c r="K27" s="3">
        <v>42605</v>
      </c>
      <c r="L27" s="4" t="str">
        <f>"000155"</f>
        <v>000155</v>
      </c>
      <c r="M27" s="3">
        <v>42625</v>
      </c>
      <c r="N27" s="4">
        <v>16</v>
      </c>
      <c r="O27" s="4" t="str">
        <f>"004997"</f>
        <v>004997</v>
      </c>
      <c r="P27" s="3">
        <v>43320</v>
      </c>
      <c r="Q27" s="6">
        <v>48.989800000000002</v>
      </c>
      <c r="R27" s="6">
        <v>8.1443999999999992</v>
      </c>
      <c r="S27" s="6">
        <v>40.845399999999998</v>
      </c>
      <c r="T27" s="4">
        <v>170</v>
      </c>
      <c r="U27" s="3">
        <v>43326</v>
      </c>
      <c r="V27" s="4">
        <v>9986096015</v>
      </c>
      <c r="W27" s="5" t="s">
        <v>39</v>
      </c>
      <c r="X27" s="4" t="s">
        <v>48</v>
      </c>
      <c r="Y27" s="5" t="s">
        <v>49</v>
      </c>
      <c r="Z27" s="4" t="s">
        <v>57</v>
      </c>
      <c r="AA27" s="5" t="s">
        <v>58</v>
      </c>
      <c r="AB27" s="6">
        <v>0.489898</v>
      </c>
      <c r="AD27" s="7"/>
      <c r="AF27" s="7"/>
      <c r="AG27" s="7"/>
    </row>
    <row r="28" spans="1:33" x14ac:dyDescent="0.2">
      <c r="A28" s="11">
        <v>4915</v>
      </c>
      <c r="B28" s="12" t="s">
        <v>29</v>
      </c>
      <c r="C28" s="12">
        <v>43326</v>
      </c>
      <c r="D28" s="4">
        <v>197</v>
      </c>
      <c r="E28" s="5" t="s">
        <v>64</v>
      </c>
      <c r="F28" s="4" t="s">
        <v>125</v>
      </c>
      <c r="G28" s="5" t="s">
        <v>126</v>
      </c>
      <c r="H28" s="4" t="str">
        <f>"00a268"</f>
        <v>00a268</v>
      </c>
      <c r="I28" s="3">
        <v>42483</v>
      </c>
      <c r="J28" s="4" t="str">
        <f>"000056"</f>
        <v>000056</v>
      </c>
      <c r="K28" s="3">
        <v>42605</v>
      </c>
      <c r="L28" s="4" t="str">
        <f>"000157"</f>
        <v>000157</v>
      </c>
      <c r="M28" s="3">
        <v>42625</v>
      </c>
      <c r="N28" s="4">
        <v>16</v>
      </c>
      <c r="O28" s="4" t="str">
        <f>"004998"</f>
        <v>004998</v>
      </c>
      <c r="P28" s="3">
        <v>43320</v>
      </c>
      <c r="Q28" s="6">
        <v>48.99</v>
      </c>
      <c r="R28" s="6">
        <v>8.1255000000000006</v>
      </c>
      <c r="S28" s="6">
        <v>40.8645</v>
      </c>
      <c r="T28" s="4">
        <v>170</v>
      </c>
      <c r="U28" s="3">
        <v>43326</v>
      </c>
      <c r="V28" s="4">
        <v>9986096015</v>
      </c>
      <c r="W28" s="5" t="s">
        <v>39</v>
      </c>
      <c r="X28" s="4" t="s">
        <v>48</v>
      </c>
      <c r="Y28" s="5" t="s">
        <v>49</v>
      </c>
      <c r="Z28" s="4" t="s">
        <v>57</v>
      </c>
      <c r="AA28" s="5" t="s">
        <v>58</v>
      </c>
      <c r="AB28" s="6">
        <v>0.4899</v>
      </c>
      <c r="AD28" s="7"/>
      <c r="AF28" s="7"/>
      <c r="AG28" s="7"/>
    </row>
    <row r="29" spans="1:33" x14ac:dyDescent="0.2">
      <c r="A29" s="11">
        <v>4916</v>
      </c>
      <c r="B29" s="12" t="s">
        <v>29</v>
      </c>
      <c r="C29" s="12">
        <v>43326</v>
      </c>
      <c r="D29" s="4">
        <v>197</v>
      </c>
      <c r="E29" s="5" t="s">
        <v>64</v>
      </c>
      <c r="F29" s="4" t="s">
        <v>127</v>
      </c>
      <c r="G29" s="5" t="s">
        <v>128</v>
      </c>
      <c r="H29" s="4" t="str">
        <f>"000270"</f>
        <v>000270</v>
      </c>
      <c r="I29" s="3">
        <v>42483</v>
      </c>
      <c r="J29" s="4" t="str">
        <f>"000055"</f>
        <v>000055</v>
      </c>
      <c r="K29" s="3">
        <v>42605</v>
      </c>
      <c r="L29" s="4" t="str">
        <f>"000156"</f>
        <v>000156</v>
      </c>
      <c r="M29" s="3">
        <v>42629</v>
      </c>
      <c r="N29" s="4">
        <v>16</v>
      </c>
      <c r="O29" s="4" t="str">
        <f>"005048"</f>
        <v>005048</v>
      </c>
      <c r="P29" s="3">
        <v>43322</v>
      </c>
      <c r="Q29" s="6">
        <v>48.994</v>
      </c>
      <c r="R29" s="6">
        <v>8.1498000000000008</v>
      </c>
      <c r="S29" s="6">
        <v>40.844200000000001</v>
      </c>
      <c r="T29" s="4">
        <v>170</v>
      </c>
      <c r="U29" s="3">
        <v>43326</v>
      </c>
      <c r="V29" s="4">
        <v>9986096015</v>
      </c>
      <c r="W29" s="5" t="s">
        <v>39</v>
      </c>
      <c r="X29" s="4" t="s">
        <v>48</v>
      </c>
      <c r="Y29" s="5" t="s">
        <v>49</v>
      </c>
      <c r="Z29" s="4" t="s">
        <v>57</v>
      </c>
      <c r="AA29" s="5" t="s">
        <v>58</v>
      </c>
      <c r="AB29" s="6">
        <v>0.48993999999999999</v>
      </c>
      <c r="AD29" s="7"/>
      <c r="AF29" s="7"/>
      <c r="AG29" s="7"/>
    </row>
    <row r="30" spans="1:33" x14ac:dyDescent="0.2">
      <c r="A30" s="11">
        <v>4917</v>
      </c>
      <c r="B30" s="12" t="s">
        <v>29</v>
      </c>
      <c r="C30" s="12">
        <v>43326</v>
      </c>
      <c r="D30" s="4">
        <v>197</v>
      </c>
      <c r="E30" s="5" t="s">
        <v>64</v>
      </c>
      <c r="F30" s="4" t="s">
        <v>129</v>
      </c>
      <c r="G30" s="5" t="s">
        <v>130</v>
      </c>
      <c r="H30" s="4" t="str">
        <f>"000a23"</f>
        <v>000a23</v>
      </c>
      <c r="I30" s="3">
        <v>42500</v>
      </c>
      <c r="J30" s="4" t="str">
        <f>"000049"</f>
        <v>000049</v>
      </c>
      <c r="K30" s="3">
        <v>42605</v>
      </c>
      <c r="L30" s="4" t="str">
        <f>"000126"</f>
        <v>000126</v>
      </c>
      <c r="M30" s="3">
        <v>42612</v>
      </c>
      <c r="N30" s="4">
        <v>16</v>
      </c>
      <c r="O30" s="4" t="str">
        <f>"005050"</f>
        <v>005050</v>
      </c>
      <c r="P30" s="3">
        <v>43322</v>
      </c>
      <c r="Q30" s="6">
        <v>15.295</v>
      </c>
      <c r="R30" s="6">
        <v>1.952</v>
      </c>
      <c r="S30" s="6">
        <v>13.343</v>
      </c>
      <c r="T30" s="4">
        <v>170</v>
      </c>
      <c r="U30" s="3">
        <v>43326</v>
      </c>
      <c r="V30" s="4">
        <v>9986096015</v>
      </c>
      <c r="W30" s="5" t="s">
        <v>131</v>
      </c>
      <c r="X30" s="4" t="s">
        <v>41</v>
      </c>
      <c r="Y30" s="5" t="s">
        <v>40</v>
      </c>
      <c r="Z30" s="4" t="s">
        <v>57</v>
      </c>
      <c r="AA30" s="5" t="s">
        <v>58</v>
      </c>
      <c r="AB30" s="6">
        <v>0.15295</v>
      </c>
      <c r="AD30" s="7"/>
      <c r="AF30" s="7"/>
      <c r="AG30" s="7"/>
    </row>
    <row r="31" spans="1:33" x14ac:dyDescent="0.2">
      <c r="A31" s="11">
        <v>4918</v>
      </c>
      <c r="B31" s="12" t="s">
        <v>29</v>
      </c>
      <c r="C31" s="12">
        <v>43326</v>
      </c>
      <c r="D31" s="4">
        <v>197</v>
      </c>
      <c r="E31" s="5" t="s">
        <v>64</v>
      </c>
      <c r="F31" s="4" t="s">
        <v>132</v>
      </c>
      <c r="G31" s="5" t="s">
        <v>133</v>
      </c>
      <c r="H31" s="4" t="str">
        <f>"000158"</f>
        <v>000158</v>
      </c>
      <c r="I31" s="3">
        <v>42760</v>
      </c>
      <c r="J31" s="4" t="str">
        <f>"000111"</f>
        <v>000111</v>
      </c>
      <c r="K31" s="3">
        <v>42821</v>
      </c>
      <c r="L31" s="4" t="str">
        <f>"000298"</f>
        <v>000298</v>
      </c>
      <c r="M31" s="3">
        <v>42825</v>
      </c>
      <c r="N31" s="4">
        <v>16</v>
      </c>
      <c r="O31" s="4" t="str">
        <f>"005075"</f>
        <v>005075</v>
      </c>
      <c r="P31" s="3">
        <v>43322</v>
      </c>
      <c r="Q31" s="6">
        <v>3.68</v>
      </c>
      <c r="R31" s="6">
        <v>0.46200000000000002</v>
      </c>
      <c r="S31" s="6">
        <v>3.218</v>
      </c>
      <c r="T31" s="4">
        <v>170</v>
      </c>
      <c r="U31" s="3">
        <v>43326</v>
      </c>
      <c r="V31" s="4">
        <v>8050659434</v>
      </c>
      <c r="W31" s="5" t="s">
        <v>60</v>
      </c>
      <c r="X31" s="4" t="s">
        <v>52</v>
      </c>
      <c r="Y31" s="5" t="s">
        <v>53</v>
      </c>
      <c r="Z31" s="4" t="s">
        <v>57</v>
      </c>
      <c r="AA31" s="5" t="s">
        <v>58</v>
      </c>
      <c r="AB31" s="6">
        <v>3.6799999999999999E-2</v>
      </c>
      <c r="AD31" s="7"/>
      <c r="AF31" s="7"/>
      <c r="AG31" s="7"/>
    </row>
    <row r="32" spans="1:33" x14ac:dyDescent="0.2">
      <c r="A32" s="11">
        <v>5002</v>
      </c>
      <c r="B32" s="12" t="s">
        <v>29</v>
      </c>
      <c r="C32" s="12">
        <v>43330</v>
      </c>
      <c r="D32" s="4">
        <v>197</v>
      </c>
      <c r="E32" s="5" t="s">
        <v>64</v>
      </c>
      <c r="F32" s="4" t="s">
        <v>134</v>
      </c>
      <c r="G32" s="5" t="s">
        <v>135</v>
      </c>
      <c r="H32" s="4" t="str">
        <f>"000116"</f>
        <v>000116</v>
      </c>
      <c r="I32" s="3">
        <v>42616</v>
      </c>
      <c r="J32" s="4" t="str">
        <f>"0129"</f>
        <v>0129</v>
      </c>
      <c r="K32" s="3">
        <v>1</v>
      </c>
      <c r="L32" s="4" t="str">
        <f>"000291"</f>
        <v>000291</v>
      </c>
      <c r="M32" s="3">
        <v>42825</v>
      </c>
      <c r="N32" s="4">
        <v>16</v>
      </c>
      <c r="O32" s="4" t="str">
        <f>"005186"</f>
        <v>005186</v>
      </c>
      <c r="P32" s="3">
        <v>43326</v>
      </c>
      <c r="Q32" s="6">
        <v>98.611999999999995</v>
      </c>
      <c r="R32" s="6">
        <v>14.881399999999999</v>
      </c>
      <c r="S32" s="6">
        <v>83.730599999999995</v>
      </c>
      <c r="T32" s="4">
        <v>174</v>
      </c>
      <c r="U32" s="3">
        <v>43330</v>
      </c>
      <c r="V32" s="4">
        <v>9886827056</v>
      </c>
      <c r="W32" s="5" t="s">
        <v>39</v>
      </c>
      <c r="X32" s="4" t="s">
        <v>48</v>
      </c>
      <c r="Y32" s="5" t="s">
        <v>49</v>
      </c>
      <c r="Z32" s="4" t="s">
        <v>57</v>
      </c>
      <c r="AA32" s="5" t="s">
        <v>58</v>
      </c>
      <c r="AB32" s="6">
        <v>0.98612</v>
      </c>
      <c r="AD32" s="7"/>
      <c r="AF32" s="7"/>
      <c r="AG32" s="7"/>
    </row>
    <row r="33" spans="1:33" x14ac:dyDescent="0.2">
      <c r="A33" s="11">
        <v>5363</v>
      </c>
      <c r="B33" s="12" t="s">
        <v>36</v>
      </c>
      <c r="C33" s="12">
        <v>43346</v>
      </c>
      <c r="D33" s="4">
        <v>197</v>
      </c>
      <c r="E33" s="5" t="s">
        <v>64</v>
      </c>
      <c r="F33" s="4" t="s">
        <v>136</v>
      </c>
      <c r="G33" s="5" t="s">
        <v>137</v>
      </c>
      <c r="H33" s="4" t="str">
        <f>"000110"</f>
        <v>000110</v>
      </c>
      <c r="I33" s="3">
        <v>41858</v>
      </c>
      <c r="J33" s="4" t="str">
        <f>"000123"</f>
        <v>000123</v>
      </c>
      <c r="K33" s="3">
        <v>41943</v>
      </c>
      <c r="L33" s="4" t="str">
        <f>"000382"</f>
        <v>000382</v>
      </c>
      <c r="M33" s="3">
        <v>41972</v>
      </c>
      <c r="N33" s="4">
        <v>14</v>
      </c>
      <c r="O33" s="4" t="str">
        <f>"006262"</f>
        <v>006262</v>
      </c>
      <c r="P33" s="3">
        <v>42730</v>
      </c>
      <c r="Q33" s="6">
        <v>15.6</v>
      </c>
      <c r="R33" s="6">
        <v>2.0699999999999998</v>
      </c>
      <c r="S33" s="6">
        <v>13.53</v>
      </c>
      <c r="T33" s="4">
        <v>188</v>
      </c>
      <c r="U33" s="3">
        <v>43346</v>
      </c>
      <c r="V33" s="4">
        <v>9986096015</v>
      </c>
      <c r="W33" s="5" t="s">
        <v>138</v>
      </c>
      <c r="X33" s="4" t="s">
        <v>30</v>
      </c>
      <c r="Y33" s="5" t="s">
        <v>31</v>
      </c>
      <c r="Z33" s="4" t="s">
        <v>57</v>
      </c>
      <c r="AA33" s="5" t="s">
        <v>58</v>
      </c>
      <c r="AB33" s="6">
        <f t="shared" ref="AB33:AB45" si="0">Q33/100</f>
        <v>0.156</v>
      </c>
      <c r="AD33" s="7"/>
      <c r="AF33" s="7"/>
      <c r="AG33" s="7"/>
    </row>
    <row r="34" spans="1:33" x14ac:dyDescent="0.2">
      <c r="A34" s="11">
        <v>5364</v>
      </c>
      <c r="B34" s="12" t="s">
        <v>36</v>
      </c>
      <c r="C34" s="12">
        <v>43346</v>
      </c>
      <c r="D34" s="4">
        <v>197</v>
      </c>
      <c r="E34" s="5" t="s">
        <v>64</v>
      </c>
      <c r="F34" s="4" t="s">
        <v>139</v>
      </c>
      <c r="G34" s="5" t="s">
        <v>140</v>
      </c>
      <c r="H34" s="4" t="str">
        <f>"000200"</f>
        <v>000200</v>
      </c>
      <c r="I34" s="3">
        <v>42803</v>
      </c>
      <c r="J34" s="4" t="str">
        <f>"000028"</f>
        <v>000028</v>
      </c>
      <c r="K34" s="3">
        <v>42916</v>
      </c>
      <c r="L34" s="4" t="str">
        <f>"000098"</f>
        <v>000098</v>
      </c>
      <c r="M34" s="3">
        <v>42916</v>
      </c>
      <c r="N34" s="4">
        <v>17</v>
      </c>
      <c r="O34" s="4" t="str">
        <f>"005485"</f>
        <v>005485</v>
      </c>
      <c r="P34" s="3">
        <v>43340</v>
      </c>
      <c r="Q34" s="6">
        <v>20.573</v>
      </c>
      <c r="R34" s="6">
        <v>2.8075999999999999</v>
      </c>
      <c r="S34" s="6">
        <v>17.7654</v>
      </c>
      <c r="T34" s="4">
        <v>189</v>
      </c>
      <c r="U34" s="3">
        <v>43346</v>
      </c>
      <c r="V34" s="4">
        <v>9900155965</v>
      </c>
      <c r="W34" s="5" t="s">
        <v>100</v>
      </c>
      <c r="X34" s="4" t="s">
        <v>30</v>
      </c>
      <c r="Y34" s="5" t="s">
        <v>31</v>
      </c>
      <c r="Z34" s="4" t="s">
        <v>57</v>
      </c>
      <c r="AA34" s="5" t="s">
        <v>58</v>
      </c>
      <c r="AB34" s="6">
        <f t="shared" si="0"/>
        <v>0.20573</v>
      </c>
      <c r="AD34" s="7"/>
      <c r="AF34" s="7"/>
      <c r="AG34" s="7"/>
    </row>
    <row r="35" spans="1:33" x14ac:dyDescent="0.2">
      <c r="A35" s="11">
        <v>5772</v>
      </c>
      <c r="B35" s="12" t="s">
        <v>36</v>
      </c>
      <c r="C35" s="12">
        <v>43370</v>
      </c>
      <c r="D35" s="4">
        <v>197</v>
      </c>
      <c r="E35" s="5" t="s">
        <v>64</v>
      </c>
      <c r="F35" s="4" t="s">
        <v>141</v>
      </c>
      <c r="G35" s="5" t="s">
        <v>142</v>
      </c>
      <c r="H35" s="4" t="str">
        <f>"000005"</f>
        <v>000005</v>
      </c>
      <c r="I35" s="3">
        <v>42831</v>
      </c>
      <c r="J35" s="4" t="str">
        <f>"000004"</f>
        <v>000004</v>
      </c>
      <c r="K35" s="3">
        <v>42853</v>
      </c>
      <c r="L35" s="4" t="str">
        <f>"000007"</f>
        <v>000007</v>
      </c>
      <c r="M35" s="3">
        <v>42853</v>
      </c>
      <c r="N35" s="4">
        <v>17</v>
      </c>
      <c r="O35" s="4" t="str">
        <f>"005888"</f>
        <v>005888</v>
      </c>
      <c r="P35" s="3">
        <v>43367</v>
      </c>
      <c r="Q35" s="6">
        <v>17.655000000000001</v>
      </c>
      <c r="R35" s="6">
        <v>2.6088</v>
      </c>
      <c r="S35" s="6">
        <v>15.046200000000001</v>
      </c>
      <c r="T35" s="4">
        <v>217</v>
      </c>
      <c r="U35" s="3">
        <v>43370</v>
      </c>
      <c r="V35" s="4">
        <v>9448068702</v>
      </c>
      <c r="W35" s="5" t="s">
        <v>59</v>
      </c>
      <c r="X35" s="4" t="s">
        <v>30</v>
      </c>
      <c r="Y35" s="5" t="s">
        <v>31</v>
      </c>
      <c r="Z35" s="4" t="s">
        <v>57</v>
      </c>
      <c r="AA35" s="5" t="s">
        <v>58</v>
      </c>
      <c r="AB35" s="6">
        <f t="shared" si="0"/>
        <v>0.17655000000000001</v>
      </c>
      <c r="AD35" s="7"/>
      <c r="AF35" s="7"/>
      <c r="AG35" s="7"/>
    </row>
    <row r="36" spans="1:33" x14ac:dyDescent="0.2">
      <c r="A36" s="11">
        <v>6666</v>
      </c>
      <c r="B36" s="12" t="s">
        <v>143</v>
      </c>
      <c r="C36" s="12">
        <v>43389</v>
      </c>
      <c r="D36" s="4">
        <v>197</v>
      </c>
      <c r="E36" s="5" t="s">
        <v>64</v>
      </c>
      <c r="F36" s="4" t="s">
        <v>144</v>
      </c>
      <c r="G36" s="5" t="s">
        <v>145</v>
      </c>
      <c r="H36" s="4" t="str">
        <f>"000254"</f>
        <v>000254</v>
      </c>
      <c r="I36" s="3">
        <v>42825</v>
      </c>
      <c r="J36" s="4" t="str">
        <f>"000007"</f>
        <v>000007</v>
      </c>
      <c r="K36" s="3">
        <v>42870</v>
      </c>
      <c r="L36" s="4" t="str">
        <f>"000037"</f>
        <v>000037</v>
      </c>
      <c r="M36" s="3">
        <v>42872</v>
      </c>
      <c r="N36" s="4">
        <v>17</v>
      </c>
      <c r="O36" s="4" t="str">
        <f>"006577"</f>
        <v>006577</v>
      </c>
      <c r="P36" s="3">
        <v>43383</v>
      </c>
      <c r="Q36" s="6">
        <v>37.981699999999996</v>
      </c>
      <c r="R36" s="6">
        <v>6.1162000000000001</v>
      </c>
      <c r="S36" s="6">
        <v>31.865500000000001</v>
      </c>
      <c r="T36" s="4">
        <v>243</v>
      </c>
      <c r="U36" s="3">
        <v>43389</v>
      </c>
      <c r="V36" s="4">
        <v>9448085873</v>
      </c>
      <c r="W36" s="5" t="s">
        <v>39</v>
      </c>
      <c r="X36" s="4" t="s">
        <v>45</v>
      </c>
      <c r="Y36" s="5" t="s">
        <v>46</v>
      </c>
      <c r="Z36" s="4" t="s">
        <v>57</v>
      </c>
      <c r="AA36" s="5" t="s">
        <v>58</v>
      </c>
      <c r="AB36" s="6">
        <f t="shared" si="0"/>
        <v>0.37981699999999996</v>
      </c>
      <c r="AD36" s="7"/>
      <c r="AF36" s="7"/>
      <c r="AG36" s="7"/>
    </row>
    <row r="37" spans="1:33" x14ac:dyDescent="0.2">
      <c r="A37" s="11">
        <v>6797</v>
      </c>
      <c r="B37" s="12" t="s">
        <v>143</v>
      </c>
      <c r="C37" s="12">
        <v>43390</v>
      </c>
      <c r="D37" s="4">
        <v>197</v>
      </c>
      <c r="E37" s="5" t="s">
        <v>64</v>
      </c>
      <c r="F37" s="4" t="s">
        <v>146</v>
      </c>
      <c r="G37" s="5" t="s">
        <v>147</v>
      </c>
      <c r="H37" s="4" t="str">
        <f>"000072"</f>
        <v>000072</v>
      </c>
      <c r="I37" s="3">
        <v>43360</v>
      </c>
      <c r="J37" s="4" t="str">
        <f>"000032"</f>
        <v>000032</v>
      </c>
      <c r="K37" s="3">
        <v>43360</v>
      </c>
      <c r="L37" s="4" t="str">
        <f>"000034"</f>
        <v>000034</v>
      </c>
      <c r="M37" s="3">
        <v>43360</v>
      </c>
      <c r="N37" s="4">
        <v>18</v>
      </c>
      <c r="O37" s="4" t="str">
        <f>"006803"</f>
        <v>006803</v>
      </c>
      <c r="P37" s="3">
        <v>43389</v>
      </c>
      <c r="Q37" s="6">
        <v>9.9596099999999996</v>
      </c>
      <c r="R37" s="6">
        <v>1.0857000000000001</v>
      </c>
      <c r="S37" s="6">
        <v>8.8739100000000004</v>
      </c>
      <c r="T37" s="4">
        <v>245</v>
      </c>
      <c r="U37" s="3">
        <v>43390</v>
      </c>
      <c r="V37" s="4">
        <v>9945510720</v>
      </c>
      <c r="W37" s="5" t="s">
        <v>148</v>
      </c>
      <c r="X37" s="4" t="s">
        <v>149</v>
      </c>
      <c r="Y37" s="5" t="s">
        <v>150</v>
      </c>
      <c r="Z37" s="4" t="s">
        <v>54</v>
      </c>
      <c r="AA37" s="5" t="s">
        <v>55</v>
      </c>
      <c r="AB37" s="6">
        <f t="shared" si="0"/>
        <v>9.9596099999999993E-2</v>
      </c>
      <c r="AD37" s="7"/>
      <c r="AF37" s="7"/>
      <c r="AG37" s="7"/>
    </row>
    <row r="38" spans="1:33" x14ac:dyDescent="0.2">
      <c r="A38" s="11">
        <v>7035</v>
      </c>
      <c r="B38" s="12" t="s">
        <v>143</v>
      </c>
      <c r="C38" s="12">
        <v>43403</v>
      </c>
      <c r="D38" s="4">
        <v>197</v>
      </c>
      <c r="E38" s="5" t="s">
        <v>64</v>
      </c>
      <c r="F38" s="4" t="s">
        <v>151</v>
      </c>
      <c r="G38" s="5" t="s">
        <v>152</v>
      </c>
      <c r="H38" s="4" t="str">
        <f>"000034"</f>
        <v>000034</v>
      </c>
      <c r="I38" s="3">
        <v>42109</v>
      </c>
      <c r="J38" s="4" t="str">
        <f>"000011"</f>
        <v>000011</v>
      </c>
      <c r="K38" s="3">
        <v>42520</v>
      </c>
      <c r="L38" s="4" t="str">
        <f>"000060"</f>
        <v>000060</v>
      </c>
      <c r="M38" s="3">
        <v>42571</v>
      </c>
      <c r="N38" s="4">
        <v>15</v>
      </c>
      <c r="O38" s="4" t="str">
        <f>"006921"</f>
        <v>006921</v>
      </c>
      <c r="P38" s="3">
        <v>43398</v>
      </c>
      <c r="Q38" s="6">
        <v>16.3</v>
      </c>
      <c r="R38" s="6">
        <v>2.7235</v>
      </c>
      <c r="S38" s="6">
        <v>13.576499999999999</v>
      </c>
      <c r="T38" s="4">
        <v>254</v>
      </c>
      <c r="U38" s="3">
        <v>43403</v>
      </c>
      <c r="V38" s="4">
        <v>9986096015</v>
      </c>
      <c r="W38" s="5" t="s">
        <v>39</v>
      </c>
      <c r="X38" s="4" t="s">
        <v>45</v>
      </c>
      <c r="Y38" s="5" t="s">
        <v>46</v>
      </c>
      <c r="Z38" s="4" t="s">
        <v>57</v>
      </c>
      <c r="AA38" s="5" t="s">
        <v>58</v>
      </c>
      <c r="AB38" s="6">
        <f t="shared" si="0"/>
        <v>0.16300000000000001</v>
      </c>
      <c r="AD38" s="7"/>
      <c r="AF38" s="7"/>
      <c r="AG38" s="7"/>
    </row>
    <row r="39" spans="1:33" x14ac:dyDescent="0.2">
      <c r="A39" s="11">
        <v>7036</v>
      </c>
      <c r="B39" s="12" t="s">
        <v>143</v>
      </c>
      <c r="C39" s="12">
        <v>43403</v>
      </c>
      <c r="D39" s="4">
        <v>197</v>
      </c>
      <c r="E39" s="5" t="s">
        <v>64</v>
      </c>
      <c r="F39" s="4" t="s">
        <v>153</v>
      </c>
      <c r="G39" s="5" t="s">
        <v>154</v>
      </c>
      <c r="H39" s="4" t="str">
        <f>"000248"</f>
        <v>000248</v>
      </c>
      <c r="I39" s="3">
        <v>42037</v>
      </c>
      <c r="J39" s="4" t="str">
        <f>"000038"</f>
        <v>000038</v>
      </c>
      <c r="K39" s="3">
        <v>42153</v>
      </c>
      <c r="L39" s="4" t="str">
        <f>"000050"</f>
        <v>000050</v>
      </c>
      <c r="M39" s="3">
        <v>42153</v>
      </c>
      <c r="N39" s="4">
        <v>15</v>
      </c>
      <c r="O39" s="4" t="str">
        <f>"006926"</f>
        <v>006926</v>
      </c>
      <c r="P39" s="3">
        <v>43398</v>
      </c>
      <c r="Q39" s="6">
        <v>21.671099999999999</v>
      </c>
      <c r="R39" s="6">
        <v>3.0777000000000001</v>
      </c>
      <c r="S39" s="6">
        <v>18.593399999999999</v>
      </c>
      <c r="T39" s="4">
        <v>254</v>
      </c>
      <c r="U39" s="3">
        <v>43403</v>
      </c>
      <c r="V39" s="4">
        <v>9845183166</v>
      </c>
      <c r="W39" s="5" t="s">
        <v>155</v>
      </c>
      <c r="X39" s="4" t="s">
        <v>30</v>
      </c>
      <c r="Y39" s="5" t="s">
        <v>31</v>
      </c>
      <c r="Z39" s="4" t="s">
        <v>57</v>
      </c>
      <c r="AA39" s="5" t="s">
        <v>58</v>
      </c>
      <c r="AB39" s="6">
        <f t="shared" si="0"/>
        <v>0.21671099999999999</v>
      </c>
      <c r="AD39" s="7"/>
      <c r="AF39" s="7"/>
      <c r="AG39" s="7"/>
    </row>
    <row r="40" spans="1:33" x14ac:dyDescent="0.2">
      <c r="A40" s="11">
        <v>7123</v>
      </c>
      <c r="B40" s="12" t="s">
        <v>143</v>
      </c>
      <c r="C40" s="12">
        <v>43404</v>
      </c>
      <c r="D40" s="4">
        <v>197</v>
      </c>
      <c r="E40" s="5" t="s">
        <v>64</v>
      </c>
      <c r="F40" s="4" t="s">
        <v>156</v>
      </c>
      <c r="G40" s="5" t="s">
        <v>157</v>
      </c>
      <c r="H40" s="4" t="str">
        <f>"000064"</f>
        <v>000064</v>
      </c>
      <c r="I40" s="3">
        <v>43021</v>
      </c>
      <c r="J40" s="4" t="str">
        <f>"000080"</f>
        <v>000080</v>
      </c>
      <c r="K40" s="3">
        <v>43339</v>
      </c>
      <c r="L40" s="4" t="str">
        <f>"000253"</f>
        <v>000253</v>
      </c>
      <c r="M40" s="3">
        <v>43369</v>
      </c>
      <c r="N40" s="4">
        <v>17</v>
      </c>
      <c r="O40" s="4" t="str">
        <f>"007156"</f>
        <v>007156</v>
      </c>
      <c r="P40" s="3">
        <v>43403</v>
      </c>
      <c r="Q40" s="6">
        <v>43.44</v>
      </c>
      <c r="R40" s="6">
        <v>4.7119</v>
      </c>
      <c r="S40" s="6">
        <v>38.728099999999998</v>
      </c>
      <c r="T40" s="4">
        <v>256</v>
      </c>
      <c r="U40" s="3">
        <v>43404</v>
      </c>
      <c r="V40" s="4">
        <v>9845183166</v>
      </c>
      <c r="W40" s="5" t="s">
        <v>158</v>
      </c>
      <c r="X40" s="4" t="s">
        <v>37</v>
      </c>
      <c r="Y40" s="5" t="s">
        <v>38</v>
      </c>
      <c r="Z40" s="4" t="s">
        <v>57</v>
      </c>
      <c r="AA40" s="5" t="s">
        <v>58</v>
      </c>
      <c r="AB40" s="6">
        <f t="shared" si="0"/>
        <v>0.43439999999999995</v>
      </c>
      <c r="AD40" s="7"/>
      <c r="AF40" s="7"/>
      <c r="AG40" s="7"/>
    </row>
    <row r="41" spans="1:33" x14ac:dyDescent="0.2">
      <c r="A41" s="11">
        <v>7893</v>
      </c>
      <c r="B41" s="12" t="s">
        <v>159</v>
      </c>
      <c r="C41" s="12">
        <v>43453</v>
      </c>
      <c r="D41" s="4">
        <v>197</v>
      </c>
      <c r="E41" s="5" t="s">
        <v>64</v>
      </c>
      <c r="F41" s="4" t="s">
        <v>160</v>
      </c>
      <c r="G41" s="5" t="s">
        <v>161</v>
      </c>
      <c r="H41" s="4" t="str">
        <f>"000191"</f>
        <v>000191</v>
      </c>
      <c r="I41" s="3">
        <v>43097</v>
      </c>
      <c r="J41" s="4" t="str">
        <f>"000098"</f>
        <v>000098</v>
      </c>
      <c r="K41" s="3">
        <v>43372</v>
      </c>
      <c r="L41" s="4" t="str">
        <f>"000272"</f>
        <v>000272</v>
      </c>
      <c r="M41" s="3">
        <v>43403</v>
      </c>
      <c r="N41" s="4">
        <v>17</v>
      </c>
      <c r="O41" s="4" t="str">
        <f>"008050"</f>
        <v>008050</v>
      </c>
      <c r="P41" s="3">
        <v>43451</v>
      </c>
      <c r="Q41" s="6">
        <v>12.489000000000001</v>
      </c>
      <c r="R41" s="6">
        <v>1.3185</v>
      </c>
      <c r="S41" s="6">
        <v>11.170500000000001</v>
      </c>
      <c r="T41" s="4">
        <v>296</v>
      </c>
      <c r="U41" s="3">
        <v>43453</v>
      </c>
      <c r="V41" s="4">
        <v>9900155965</v>
      </c>
      <c r="W41" s="5" t="s">
        <v>162</v>
      </c>
      <c r="X41" s="4" t="s">
        <v>37</v>
      </c>
      <c r="Y41" s="5" t="s">
        <v>38</v>
      </c>
      <c r="Z41" s="4" t="s">
        <v>57</v>
      </c>
      <c r="AA41" s="5" t="s">
        <v>58</v>
      </c>
      <c r="AB41" s="6">
        <f t="shared" si="0"/>
        <v>0.12489</v>
      </c>
      <c r="AD41" s="7"/>
      <c r="AF41" s="7"/>
      <c r="AG41" s="7"/>
    </row>
    <row r="42" spans="1:33" x14ac:dyDescent="0.2">
      <c r="A42" s="11">
        <v>7894</v>
      </c>
      <c r="B42" s="12" t="s">
        <v>159</v>
      </c>
      <c r="C42" s="12">
        <v>43453</v>
      </c>
      <c r="D42" s="4">
        <v>197</v>
      </c>
      <c r="E42" s="5" t="s">
        <v>64</v>
      </c>
      <c r="F42" s="4" t="s">
        <v>163</v>
      </c>
      <c r="G42" s="5" t="s">
        <v>164</v>
      </c>
      <c r="H42" s="4" t="str">
        <f>"000302"</f>
        <v>000302</v>
      </c>
      <c r="I42" s="3">
        <v>43140</v>
      </c>
      <c r="J42" s="4" t="str">
        <f>"000046"</f>
        <v>000046</v>
      </c>
      <c r="K42" s="3">
        <v>43251</v>
      </c>
      <c r="L42" s="4" t="str">
        <f>"000142"</f>
        <v>000142</v>
      </c>
      <c r="M42" s="3">
        <v>43251</v>
      </c>
      <c r="N42" s="4">
        <v>18</v>
      </c>
      <c r="O42" s="4" t="str">
        <f>"007894"</f>
        <v>007894</v>
      </c>
      <c r="P42" s="3">
        <v>43445</v>
      </c>
      <c r="Q42" s="6">
        <v>39.997</v>
      </c>
      <c r="R42" s="6">
        <v>5.6398000000000001</v>
      </c>
      <c r="S42" s="6">
        <v>34.357199999999999</v>
      </c>
      <c r="T42" s="4">
        <v>297</v>
      </c>
      <c r="U42" s="3">
        <v>43453</v>
      </c>
      <c r="V42" s="4">
        <v>9886631704</v>
      </c>
      <c r="W42" s="5" t="s">
        <v>47</v>
      </c>
      <c r="X42" s="4" t="s">
        <v>165</v>
      </c>
      <c r="Y42" s="5" t="s">
        <v>166</v>
      </c>
      <c r="Z42" s="4" t="s">
        <v>57</v>
      </c>
      <c r="AA42" s="5" t="s">
        <v>58</v>
      </c>
      <c r="AB42" s="6">
        <f t="shared" si="0"/>
        <v>0.39996999999999999</v>
      </c>
      <c r="AD42" s="7"/>
      <c r="AF42" s="7"/>
      <c r="AG42" s="7"/>
    </row>
    <row r="43" spans="1:33" x14ac:dyDescent="0.2">
      <c r="A43" s="11">
        <v>7895</v>
      </c>
      <c r="B43" s="12" t="s">
        <v>159</v>
      </c>
      <c r="C43" s="12">
        <v>43453</v>
      </c>
      <c r="D43" s="4">
        <v>197</v>
      </c>
      <c r="E43" s="5" t="s">
        <v>64</v>
      </c>
      <c r="F43" s="4" t="s">
        <v>167</v>
      </c>
      <c r="G43" s="5" t="s">
        <v>168</v>
      </c>
      <c r="H43" s="4" t="str">
        <f>"000300"</f>
        <v>000300</v>
      </c>
      <c r="I43" s="3">
        <v>43140</v>
      </c>
      <c r="J43" s="4" t="str">
        <f>"000048"</f>
        <v>000048</v>
      </c>
      <c r="K43" s="3">
        <v>43251</v>
      </c>
      <c r="L43" s="4" t="str">
        <f>"000143"</f>
        <v>000143</v>
      </c>
      <c r="M43" s="3">
        <v>43251</v>
      </c>
      <c r="N43" s="4">
        <v>18</v>
      </c>
      <c r="O43" s="4" t="str">
        <f>"007895"</f>
        <v>007895</v>
      </c>
      <c r="P43" s="3">
        <v>43445</v>
      </c>
      <c r="Q43" s="6">
        <v>69.978999999999999</v>
      </c>
      <c r="R43" s="6">
        <v>9.8680000000000003</v>
      </c>
      <c r="S43" s="6">
        <v>60.110999999999997</v>
      </c>
      <c r="T43" s="4">
        <v>297</v>
      </c>
      <c r="U43" s="3">
        <v>43453</v>
      </c>
      <c r="V43" s="4">
        <v>9886631704</v>
      </c>
      <c r="W43" s="5" t="s">
        <v>47</v>
      </c>
      <c r="X43" s="4" t="s">
        <v>165</v>
      </c>
      <c r="Y43" s="5" t="s">
        <v>166</v>
      </c>
      <c r="Z43" s="4" t="s">
        <v>57</v>
      </c>
      <c r="AA43" s="5" t="s">
        <v>58</v>
      </c>
      <c r="AB43" s="6">
        <f t="shared" si="0"/>
        <v>0.69979000000000002</v>
      </c>
      <c r="AD43" s="7"/>
      <c r="AF43" s="7"/>
      <c r="AG43" s="7"/>
    </row>
    <row r="44" spans="1:33" x14ac:dyDescent="0.2">
      <c r="A44" s="11">
        <v>7896</v>
      </c>
      <c r="B44" s="12" t="s">
        <v>159</v>
      </c>
      <c r="C44" s="12">
        <v>43453</v>
      </c>
      <c r="D44" s="4">
        <v>197</v>
      </c>
      <c r="E44" s="5" t="s">
        <v>64</v>
      </c>
      <c r="F44" s="4" t="s">
        <v>169</v>
      </c>
      <c r="G44" s="5" t="s">
        <v>170</v>
      </c>
      <c r="H44" s="4" t="str">
        <f>"000301"</f>
        <v>000301</v>
      </c>
      <c r="I44" s="3">
        <v>43140</v>
      </c>
      <c r="J44" s="4" t="str">
        <f>"000050"</f>
        <v>000050</v>
      </c>
      <c r="K44" s="3">
        <v>43251</v>
      </c>
      <c r="L44" s="4" t="str">
        <f>"000144"</f>
        <v>000144</v>
      </c>
      <c r="M44" s="3">
        <v>43251</v>
      </c>
      <c r="N44" s="4">
        <v>18</v>
      </c>
      <c r="O44" s="4" t="str">
        <f>"007896"</f>
        <v>007896</v>
      </c>
      <c r="P44" s="3">
        <v>43445</v>
      </c>
      <c r="Q44" s="6">
        <v>39.984999999999999</v>
      </c>
      <c r="R44" s="6">
        <v>5.6189999999999998</v>
      </c>
      <c r="S44" s="6">
        <v>34.366</v>
      </c>
      <c r="T44" s="4">
        <v>297</v>
      </c>
      <c r="U44" s="3">
        <v>43453</v>
      </c>
      <c r="V44" s="4">
        <v>9886631704</v>
      </c>
      <c r="W44" s="5" t="s">
        <v>47</v>
      </c>
      <c r="X44" s="4" t="s">
        <v>165</v>
      </c>
      <c r="Y44" s="5" t="s">
        <v>166</v>
      </c>
      <c r="Z44" s="4" t="s">
        <v>57</v>
      </c>
      <c r="AA44" s="5" t="s">
        <v>58</v>
      </c>
      <c r="AB44" s="6">
        <f t="shared" si="0"/>
        <v>0.39984999999999998</v>
      </c>
      <c r="AD44" s="7"/>
      <c r="AF44" s="7"/>
      <c r="AG44" s="7"/>
    </row>
    <row r="45" spans="1:33" x14ac:dyDescent="0.2">
      <c r="A45" s="11">
        <v>7934</v>
      </c>
      <c r="B45" s="12" t="s">
        <v>159</v>
      </c>
      <c r="C45" s="12">
        <v>43454</v>
      </c>
      <c r="D45" s="4">
        <v>197</v>
      </c>
      <c r="E45" s="5" t="s">
        <v>64</v>
      </c>
      <c r="F45" s="4" t="s">
        <v>101</v>
      </c>
      <c r="G45" s="5" t="s">
        <v>171</v>
      </c>
      <c r="H45" s="4" t="str">
        <f>"000201"</f>
        <v>000201</v>
      </c>
      <c r="I45" s="3">
        <v>42803</v>
      </c>
      <c r="J45" s="4" t="str">
        <f>"000005"</f>
        <v>000005</v>
      </c>
      <c r="K45" s="3">
        <v>43069</v>
      </c>
      <c r="L45" s="4" t="str">
        <f>"000008"</f>
        <v>000008</v>
      </c>
      <c r="M45" s="3">
        <v>43098</v>
      </c>
      <c r="N45" s="4">
        <v>17</v>
      </c>
      <c r="O45" s="4" t="str">
        <f>"007991"</f>
        <v>007991</v>
      </c>
      <c r="P45" s="3">
        <v>43448</v>
      </c>
      <c r="Q45" s="6">
        <v>10.744</v>
      </c>
      <c r="R45" s="6">
        <v>1.0976999999999999</v>
      </c>
      <c r="S45" s="6">
        <v>9.6463000000000001</v>
      </c>
      <c r="T45" s="4">
        <v>298</v>
      </c>
      <c r="U45" s="3">
        <v>43454</v>
      </c>
      <c r="V45" s="4">
        <v>9900155965</v>
      </c>
      <c r="W45" s="5" t="s">
        <v>100</v>
      </c>
      <c r="X45" s="4" t="s">
        <v>30</v>
      </c>
      <c r="Y45" s="5" t="s">
        <v>31</v>
      </c>
      <c r="Z45" s="4" t="s">
        <v>57</v>
      </c>
      <c r="AA45" s="5" t="s">
        <v>58</v>
      </c>
      <c r="AB45" s="6">
        <f t="shared" si="0"/>
        <v>0.10743999999999999</v>
      </c>
      <c r="AD45" s="7"/>
      <c r="AF45" s="7"/>
      <c r="AG45" s="7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cp:lastPrinted>2019-01-08T07:19:18Z</cp:lastPrinted>
  <dcterms:created xsi:type="dcterms:W3CDTF">2019-01-08T05:01:28Z</dcterms:created>
  <dcterms:modified xsi:type="dcterms:W3CDTF">2019-01-17T15:10:04Z</dcterms:modified>
</cp:coreProperties>
</file>