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H41" i="1"/>
  <c r="J41" i="1"/>
  <c r="L41" i="1"/>
  <c r="O41" i="1"/>
  <c r="H42" i="1"/>
  <c r="J42" i="1"/>
  <c r="L42" i="1"/>
  <c r="O42" i="1"/>
  <c r="H43" i="1"/>
  <c r="J43" i="1"/>
  <c r="L43" i="1"/>
  <c r="O43" i="1"/>
  <c r="H44" i="1"/>
  <c r="J44" i="1"/>
  <c r="L44" i="1"/>
  <c r="O44" i="1"/>
  <c r="H45" i="1"/>
  <c r="J45" i="1"/>
  <c r="L45" i="1"/>
  <c r="O45" i="1"/>
  <c r="H46" i="1"/>
  <c r="J46" i="1"/>
  <c r="L46" i="1"/>
  <c r="O46" i="1"/>
  <c r="H47" i="1"/>
  <c r="J47" i="1"/>
  <c r="L47" i="1"/>
  <c r="O47" i="1"/>
  <c r="H48" i="1"/>
  <c r="J48" i="1"/>
  <c r="L48" i="1"/>
  <c r="O48" i="1"/>
  <c r="H49" i="1"/>
  <c r="J49" i="1"/>
  <c r="L49" i="1"/>
  <c r="O49" i="1"/>
  <c r="H50" i="1"/>
  <c r="J50" i="1"/>
  <c r="L50" i="1"/>
  <c r="O50" i="1"/>
  <c r="H51" i="1"/>
  <c r="J51" i="1"/>
  <c r="L51" i="1"/>
  <c r="O51" i="1"/>
  <c r="AB51" i="1"/>
  <c r="H52" i="1"/>
  <c r="J52" i="1"/>
  <c r="L52" i="1"/>
  <c r="O52" i="1"/>
  <c r="AB52" i="1"/>
  <c r="H53" i="1"/>
  <c r="J53" i="1"/>
  <c r="L53" i="1"/>
  <c r="O53" i="1"/>
  <c r="AB53" i="1"/>
  <c r="H54" i="1"/>
  <c r="J54" i="1"/>
  <c r="L54" i="1"/>
  <c r="O54" i="1"/>
  <c r="AB54" i="1"/>
  <c r="H55" i="1"/>
  <c r="J55" i="1"/>
  <c r="L55" i="1"/>
  <c r="O55" i="1"/>
  <c r="AB55" i="1"/>
  <c r="H56" i="1"/>
  <c r="J56" i="1"/>
  <c r="L56" i="1"/>
  <c r="O56" i="1"/>
  <c r="AB56" i="1"/>
  <c r="H57" i="1"/>
  <c r="J57" i="1"/>
  <c r="L57" i="1"/>
  <c r="O57" i="1"/>
  <c r="AB57" i="1"/>
  <c r="H58" i="1"/>
  <c r="J58" i="1"/>
  <c r="L58" i="1"/>
  <c r="O58" i="1"/>
  <c r="AB58" i="1"/>
  <c r="H59" i="1"/>
  <c r="J59" i="1"/>
  <c r="L59" i="1"/>
  <c r="O59" i="1"/>
  <c r="AB59" i="1"/>
</calcChain>
</file>

<file path=xl/sharedStrings.xml><?xml version="1.0" encoding="utf-8"?>
<sst xmlns="http://schemas.openxmlformats.org/spreadsheetml/2006/main" count="551" uniqueCount="204">
  <si>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</si>
  <si>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</si>
  <si>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</si>
  <si>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</si>
  <si>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</si>
  <si>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</si>
  <si>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</si>
  <si>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</si>
  <si>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</si>
  <si>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</si>
  <si>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</si>
  <si>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</si>
  <si>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</si>
  <si>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</si>
  <si>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</si>
  <si>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</si>
  <si>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</si>
  <si>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</si>
  <si>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</si>
  <si>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</si>
  <si>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</si>
  <si>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</si>
  <si>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</si>
  <si>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</si>
  <si>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</si>
  <si>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</si>
  <si>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</si>
  <si>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</si>
  <si>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</si>
  <si>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</si>
  <si>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</si>
  <si>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</si>
  <si>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</si>
  <si>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</si>
  <si>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</si>
  <si>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</si>
  <si>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</si>
  <si>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</si>
  <si>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</si>
  <si>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</si>
  <si>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P3111</t>
  </si>
  <si>
    <t>State Finance Commission Untied Grant Works</t>
  </si>
  <si>
    <t>P3293</t>
  </si>
  <si>
    <t>14th Finance Commission Works - Drinking Water</t>
  </si>
  <si>
    <t>P3110</t>
  </si>
  <si>
    <t>14th Finance Commission Grant Works</t>
  </si>
  <si>
    <t>P3296</t>
  </si>
  <si>
    <t>14th Finance Commission Works - Road and Footpath Maintenance</t>
  </si>
  <si>
    <t>P3291</t>
  </si>
  <si>
    <t>14th Fin  -Maintenance of Cremotorium, Burial Grounds</t>
  </si>
  <si>
    <t>November</t>
  </si>
  <si>
    <t>October</t>
  </si>
  <si>
    <t>18per - Works (Bhagyajyothi, Sooru / Neeru Yojane and General) (54 Lakhs / New Wards)</t>
  </si>
  <si>
    <t>P1878</t>
  </si>
  <si>
    <t>14th Finance Commission Works - General Public ToiletandSeptage Maintenance</t>
  </si>
  <si>
    <t>P3294</t>
  </si>
  <si>
    <t>14th Finance Commission Works - Community Property Maintenance (including Parks)</t>
  </si>
  <si>
    <t>P3292</t>
  </si>
  <si>
    <t>14th Finance Commission Grants - SWD Works</t>
  </si>
  <si>
    <t>P3297</t>
  </si>
  <si>
    <t>M and R to Electrical Crematoria</t>
  </si>
  <si>
    <t>P0287</t>
  </si>
  <si>
    <t>M/s KRIDL</t>
  </si>
  <si>
    <t>17-</t>
  </si>
  <si>
    <t xml:space="preserve"> Assistant Executive Engineer Electrical East Zone</t>
  </si>
  <si>
    <t>ddo089</t>
  </si>
  <si>
    <t xml:space="preserve"> Assistant Executive Engineer H B R Layout East Zone</t>
  </si>
  <si>
    <t>ddo082</t>
  </si>
  <si>
    <t>Nasirulla,</t>
  </si>
  <si>
    <t>IMPROVEMENTS TO 9TH CROSS AT GANDHINAGARA IN WARD NO.23</t>
  </si>
  <si>
    <t>023-16-000008</t>
  </si>
  <si>
    <t>Nagavara</t>
  </si>
  <si>
    <t xml:space="preserve">Technical Manager KRIDL </t>
  </si>
  <si>
    <t>Providing chain link fencing for storm water drain at AMC College   in ward no 23</t>
  </si>
  <si>
    <t>023-18-000052</t>
  </si>
  <si>
    <t xml:space="preserve">TECHNICAL MANAGER KRIDL </t>
  </si>
  <si>
    <t>Maintenance of publice toilet in ward no 23</t>
  </si>
  <si>
    <t>023-18-000049</t>
  </si>
  <si>
    <t>M/s Civil Experts Consultants &amp; Testing Centre,</t>
  </si>
  <si>
    <t>Improvements to Drain at  Vyalikaval Layout in Ward No.23.</t>
  </si>
  <si>
    <t>023-17-000033</t>
  </si>
  <si>
    <t>M/s Shri. Senthurvelan Infras,</t>
  </si>
  <si>
    <t>Package -1 Comprehensiv e development of roads and drains at ward no 23,24, 30 under Nagarothana Grants 2016-17</t>
  </si>
  <si>
    <t>023-17-000007</t>
  </si>
  <si>
    <t>M/s KRIDL, The Techn ical Manager-01,</t>
  </si>
  <si>
    <t>Emergency works in HBR Layout  Sub division in Ward No-23,24,30</t>
  </si>
  <si>
    <t>023-18-000046</t>
  </si>
  <si>
    <t>C.Loganathan,</t>
  </si>
  <si>
    <t>IMPROVEMENTS TO DRAIN AT 2ND A AND 2ND B CROSS AT SAMADHANANAGARA IN WARD NO.23</t>
  </si>
  <si>
    <t>023-16-000011</t>
  </si>
  <si>
    <t>S.Balakrishnareddy,</t>
  </si>
  <si>
    <t>IMPROVEMENTS TO DRAINS AT VEERANNAPALYA GOVT SCHOOL ROAD IN WARD NO.23</t>
  </si>
  <si>
    <t>023-16-000003</t>
  </si>
  <si>
    <t>IMPROVEMENTS TO DRAINS FROM SARVODAYANAGARA 1ST CROSS TO SHAMPURA RAILWAY TRACK ON SARVODAYANAGARA MAIN ROAD IN WARD NO 23</t>
  </si>
  <si>
    <t>023-14-000017</t>
  </si>
  <si>
    <t xml:space="preserve">S.Balakrishnareddy, </t>
  </si>
  <si>
    <t>Desilting of Drains and Removing of Debris in ward no 23 Nagawara</t>
  </si>
  <si>
    <t>023-17-000013</t>
  </si>
  <si>
    <t>D.M.Kumar,</t>
  </si>
  <si>
    <t>REMOVING OF DEBRIS AT GOOGAPPA LAYOUT BESIDE SWD IN WARD NO 23</t>
  </si>
  <si>
    <t>023-16-000033</t>
  </si>
  <si>
    <t>DESILTING OF DRAIN AND REMOVING OF DEBRIS AT SARVODAYA NAGARA IN WARD NO 23</t>
  </si>
  <si>
    <t>023-16-000035</t>
  </si>
  <si>
    <t>D.M.Kumar</t>
  </si>
  <si>
    <t>DESILTING OF DRAIN AT GOOGAPPA LAYOUT IN WARD NO 23</t>
  </si>
  <si>
    <t>023-16-000034</t>
  </si>
  <si>
    <t>DESILTING OF DRAINS AND REMOVING OF DEBRIS AT GANDHI NAGAR 7TH CROSS 8TH CROSS AND 9TH CROSS IN WARD NO 23</t>
  </si>
  <si>
    <t>023-16-000032</t>
  </si>
  <si>
    <t>IMPROVEMENTS TO CROSS ROADS UNDER ST.MARYS STREET IN WARD NO.23</t>
  </si>
  <si>
    <t>023-16-000009</t>
  </si>
  <si>
    <t>DESILTING OF DRAINS AND REMOVING OF DEBRIS AT GANDHI NAGAR 1ST STAGE IN WARD NO 23</t>
  </si>
  <si>
    <t>023-16-000031</t>
  </si>
  <si>
    <t>REMOVING OF DEBRIS IN WARD NO 23 NAGAWARA</t>
  </si>
  <si>
    <t>023-16-000038</t>
  </si>
  <si>
    <t>M.Srinivasa,</t>
  </si>
  <si>
    <t>Renovation of Community Toilets at Basavalingappa Nagar-2 in Ward No. 23 Nagawara</t>
  </si>
  <si>
    <t>023-17-000003</t>
  </si>
  <si>
    <t>M.Taiyub Ahmed,</t>
  </si>
  <si>
    <t>Maintanance of Borewell and Providing water supply to in ward-23</t>
  </si>
  <si>
    <t>023-17-000017</t>
  </si>
  <si>
    <t>M.Tayub Ahmed,</t>
  </si>
  <si>
    <t>Providing Watersupply Pipe line For Public taps at Gandhinagara, Samadhanagara, Hidayathnagara and Surrounding area in Ward No.23 Nagawara</t>
  </si>
  <si>
    <t>023-17-000016</t>
  </si>
  <si>
    <t>Sri.Nanjaiah, (NLR Constructions Copany Rep By Najaiah)</t>
  </si>
  <si>
    <t>RE DOING ROAD CUT PORTIONS AND CONCRETE PATCH WORKS IN WARD NO.23</t>
  </si>
  <si>
    <t>023-16-000002</t>
  </si>
  <si>
    <t>M/s Powertech Electricals</t>
  </si>
  <si>
    <t>Operation and Maintenance of street lights at Nagavara ward no 23 Package E16 for one year.</t>
  </si>
  <si>
    <t>023-16-000001</t>
  </si>
  <si>
    <t>HI-TECH ELECTRICALS</t>
  </si>
  <si>
    <t>Annual Street light maintenance at ward no 23 and 24 Package-E9</t>
  </si>
  <si>
    <t>314-12-000009</t>
  </si>
  <si>
    <t>M/s KRIDL, The Technical Manager-01,</t>
  </si>
  <si>
    <t>Construction of Drain at Chuna Lane-1 from Nagawara Main road to SWD in Ward no 23</t>
  </si>
  <si>
    <t>023-18-000042</t>
  </si>
  <si>
    <t>Sri.Mohamed shafiulla,</t>
  </si>
  <si>
    <t>PROVIDING NAME BOARDS IN WARD NO.23</t>
  </si>
  <si>
    <t>023-16-000010</t>
  </si>
  <si>
    <t>IMPROVEMENTS TO DRIANS AT 8TH CROSS OF GANDHINAGARA IN WARD NO.24</t>
  </si>
  <si>
    <t>023-16-000007</t>
  </si>
  <si>
    <t>M/s.Lakshmikantha Electricals</t>
  </si>
  <si>
    <t>Providing of Streetlights, Control Switches , Control Wire Etc., to Nagavara ward 23</t>
  </si>
  <si>
    <t>023-16-000030</t>
  </si>
  <si>
    <t>The Technical Manager-01, KRIDL,</t>
  </si>
  <si>
    <t>Construction of Drain at Gandhinagara in Ward No.23. (9th Cross to 7th Cross Gandhinagara)</t>
  </si>
  <si>
    <t>023-18-000041</t>
  </si>
  <si>
    <t>IMPROVEMENTS TO DRIANS AT 7TH CROSS OF GANDHINAGARA IN WARD NO.23</t>
  </si>
  <si>
    <t>023-16-000006</t>
  </si>
  <si>
    <t>Improvements to Drain at Sandhyogappa layout and Surrounding area in Ward No.23. Nagawara</t>
  </si>
  <si>
    <t>023-18-000045</t>
  </si>
  <si>
    <t>Improvements to Drains and Roads at Sampangi Ramaiah layout in Ward No.23 Nagawara</t>
  </si>
  <si>
    <t>023-18-000040</t>
  </si>
  <si>
    <t>PROVIDING STREET LIGHTS AT LIDKAR COLONY AND SURROUNDING AREA IN WARD NO 23</t>
  </si>
  <si>
    <t>023-18-000030</t>
  </si>
  <si>
    <t>PROVIDING STREET LIGHTS AT GOVINDAPURA AK COLONY AND SURROUNDING AREA IN WARD NO 23</t>
  </si>
  <si>
    <t>023-18-000037</t>
  </si>
  <si>
    <t>PROVIDING STREET LIGHTS AT VEERANNAPALYA AK COLONY AND SURROUNDING AREA IN WARD NO 23</t>
  </si>
  <si>
    <t>023-18-000036</t>
  </si>
  <si>
    <t>M/s KRIDL The Technical Manager(East)</t>
  </si>
  <si>
    <t>PROVIDING STREET LIGHTS AT CHUNA LANE 3 AND SURROUNDING AREA IN WARD NO 23</t>
  </si>
  <si>
    <t>023-18-000033</t>
  </si>
  <si>
    <t>PROVIDING STREET LIGHTS AT SAMADHANANAGARA AND SURROUNDING AREA IN WARD NO 23</t>
  </si>
  <si>
    <t>023-18-000034</t>
  </si>
  <si>
    <t>PROVIDING STREET LIGHTS AT CHUNA LANE 1 AND SURROUNDING AREA IN WARD NO 23</t>
  </si>
  <si>
    <t>023-18-000031</t>
  </si>
  <si>
    <t>PROVIDING STREET LIGHTS AT GANDHINAGARA AND SURROUNDING AREA IN WARD NO 23</t>
  </si>
  <si>
    <t>023-18-000035</t>
  </si>
  <si>
    <t>PROVIDING STREET LIGHTS AT CHUNA LANE 2 AND SURROUNDING AREA IN WARD NO 23</t>
  </si>
  <si>
    <t>023-18-000032</t>
  </si>
  <si>
    <t>Maintenance of Burrial Grounds in ward no 23</t>
  </si>
  <si>
    <t>023-18-000047</t>
  </si>
  <si>
    <t>TECHNICAL MANAGER KRIDL</t>
  </si>
  <si>
    <t>Maintenance of CA Site at Vyalikaval layout in ward no 23</t>
  </si>
  <si>
    <t>023-18-000048</t>
  </si>
  <si>
    <t>Improvements to roads and drains at 17th cross Umarnagar (Opp to Dominik school ) in ward no 23</t>
  </si>
  <si>
    <t>023-18-000051</t>
  </si>
  <si>
    <t>the Technical Manager-01, KRIDL,</t>
  </si>
  <si>
    <t>Improvements to roads and Drains at Govindapura yellamma temple road and Shiva matta road in Ward No.23 Nagawara</t>
  </si>
  <si>
    <t>023-18-000039</t>
  </si>
  <si>
    <t>Improvements to Roads and Drains at 14th Cross Umarnagara and Kausar Masjid area in Ward No.23</t>
  </si>
  <si>
    <t>023-18-000038</t>
  </si>
  <si>
    <t>Improvements to Drains and Roads at Main and Cross Roads of Byrappa Layout and Surrounding area in Ward No.23 (1st Cross, 2nd Cross, 2nd Main Byrappa layout)</t>
  </si>
  <si>
    <t>023-18-000044</t>
  </si>
  <si>
    <t>Improvements to Drains and Roads at 10th Cross Rashad Nagara and Surrounding area in Ward No.23 ( 10th cross and 11th cross Rashadnagara)</t>
  </si>
  <si>
    <t>023-18-000043</t>
  </si>
  <si>
    <t>Technical Manager-01, East Zone,</t>
  </si>
  <si>
    <t>Drilling of Borewell and Providing Drinking water facility in ward no 23 Nagawara</t>
  </si>
  <si>
    <t>023-18-000020</t>
  </si>
  <si>
    <t>Comprehensive Development of Siillover works in Sarvagna nagar Consituency</t>
  </si>
  <si>
    <t>P2957</t>
  </si>
  <si>
    <t>The Tehnical Manager-01,</t>
  </si>
  <si>
    <t xml:space="preserve">Improvements roads and drains at Hidayathnagara,Mukthinagara and Muniswamappa Layout in ward no 23 </t>
  </si>
  <si>
    <t>023-14-000037</t>
  </si>
  <si>
    <t>The Technical MAnager-01, KRIDL,</t>
  </si>
  <si>
    <t>CONSTRUCTION OF TAILORING CENTER AT SAMADHANANAGAR IN WARD NO 23</t>
  </si>
  <si>
    <t>023-18-000029</t>
  </si>
  <si>
    <t xml:space="preserve">G.C.S.Construction,(Prop G.Chandra), </t>
  </si>
  <si>
    <t>CONSTRUCTION OF WATERSTORAGE SUMP AND PUMP ROOM NEAR KAUSER MASJID IN WARD NO.23</t>
  </si>
  <si>
    <t>023-16-000004</t>
  </si>
  <si>
    <t>Engagement of Gangman and Hiring of Tractor Tippers for cleaning and Maintenance of road side drains and other cleaning works in works in ward no 23</t>
  </si>
  <si>
    <t>023-17-000054</t>
  </si>
  <si>
    <t>M/s Excel Construtions,</t>
  </si>
  <si>
    <t>ENGAGING TRACTOR AND LABOURS FOR ANNUAL MAINTENANCE IN WARD NO 23</t>
  </si>
  <si>
    <t>023-16-000022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</si>
</sst>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workbookViewId="0">
      <selection activeCell="A2" sqref="A2:XFD59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348</v>
      </c>
      <c r="B2" s="13" t="s">
        <v>28</v>
      </c>
      <c r="C2" s="13">
        <v>43200</v>
      </c>
      <c r="D2" s="5">
        <v>23</v>
      </c>
      <c r="E2" s="6" t="s">
        <v>71</v>
      </c>
      <c r="F2" s="5" t="s">
        <v>203</v>
      </c>
      <c r="G2" s="6" t="s">
        <v>202</v>
      </c>
      <c r="H2" s="5" t="str">
        <f>"000031"</f>
        <v>000031</v>
      </c>
      <c r="I2" s="4">
        <v>42537</v>
      </c>
      <c r="J2" s="5" t="str">
        <f>"000069"</f>
        <v>000069</v>
      </c>
      <c r="K2" s="4">
        <v>42704</v>
      </c>
      <c r="L2" s="5" t="str">
        <f>"000313"</f>
        <v>000313</v>
      </c>
      <c r="M2" s="4">
        <v>42704</v>
      </c>
      <c r="N2" s="5">
        <v>16</v>
      </c>
      <c r="O2" s="5" t="str">
        <f>"000393"</f>
        <v>000393</v>
      </c>
      <c r="P2" s="4">
        <v>43197</v>
      </c>
      <c r="Q2" s="7">
        <v>5.7651399999999997</v>
      </c>
      <c r="R2" s="7">
        <v>0.39500000000000002</v>
      </c>
      <c r="S2" s="7">
        <v>5.3701400000000001</v>
      </c>
      <c r="T2" s="5">
        <v>10</v>
      </c>
      <c r="U2" s="4">
        <v>43200</v>
      </c>
      <c r="V2" s="5">
        <v>9886057553</v>
      </c>
      <c r="W2" s="6" t="s">
        <v>201</v>
      </c>
      <c r="X2" s="5" t="s">
        <v>32</v>
      </c>
      <c r="Y2" s="6" t="s">
        <v>33</v>
      </c>
      <c r="Z2" s="5" t="s">
        <v>67</v>
      </c>
      <c r="AA2" s="6" t="s">
        <v>66</v>
      </c>
      <c r="AB2" s="7">
        <v>5.7651399999999998E-2</v>
      </c>
      <c r="AD2" s="8"/>
      <c r="AF2" s="8"/>
      <c r="AG2" s="8"/>
    </row>
    <row r="3" spans="1:33" x14ac:dyDescent="0.2">
      <c r="A3" s="12">
        <v>349</v>
      </c>
      <c r="B3" s="13" t="s">
        <v>28</v>
      </c>
      <c r="C3" s="13">
        <v>43200</v>
      </c>
      <c r="D3" s="5">
        <v>23</v>
      </c>
      <c r="E3" s="6" t="s">
        <v>71</v>
      </c>
      <c r="F3" s="5" t="s">
        <v>200</v>
      </c>
      <c r="G3" s="6" t="s">
        <v>199</v>
      </c>
      <c r="H3" s="5" t="str">
        <f>"0.0050"</f>
        <v>0.0050</v>
      </c>
      <c r="I3" s="4">
        <v>42908</v>
      </c>
      <c r="J3" s="5" t="str">
        <f>"000120"</f>
        <v>000120</v>
      </c>
      <c r="K3" s="4">
        <v>43181</v>
      </c>
      <c r="L3" s="5" t="str">
        <f>"000398"</f>
        <v>000398</v>
      </c>
      <c r="M3" s="4">
        <v>43181</v>
      </c>
      <c r="N3" s="5">
        <v>17</v>
      </c>
      <c r="O3" s="5" t="str">
        <f>"000442"</f>
        <v>000442</v>
      </c>
      <c r="P3" s="4">
        <v>43199</v>
      </c>
      <c r="Q3" s="7">
        <v>5.1879600000000003</v>
      </c>
      <c r="R3" s="7">
        <v>5.8000000000000003E-2</v>
      </c>
      <c r="S3" s="7">
        <v>5.1299599999999996</v>
      </c>
      <c r="T3" s="5">
        <v>13</v>
      </c>
      <c r="U3" s="4">
        <v>43200</v>
      </c>
      <c r="V3" s="5">
        <v>9743053015</v>
      </c>
      <c r="W3" s="6" t="s">
        <v>98</v>
      </c>
      <c r="X3" s="5" t="s">
        <v>44</v>
      </c>
      <c r="Y3" s="6" t="s">
        <v>45</v>
      </c>
      <c r="Z3" s="5" t="s">
        <v>67</v>
      </c>
      <c r="AA3" s="6" t="s">
        <v>66</v>
      </c>
      <c r="AB3" s="7">
        <v>5.1879600000000005E-2</v>
      </c>
      <c r="AD3" s="8"/>
      <c r="AF3" s="8"/>
      <c r="AG3" s="8"/>
    </row>
    <row r="4" spans="1:33" x14ac:dyDescent="0.2">
      <c r="A4" s="12">
        <v>807</v>
      </c>
      <c r="B4" s="13" t="s">
        <v>38</v>
      </c>
      <c r="C4" s="13">
        <v>43225</v>
      </c>
      <c r="D4" s="5">
        <v>23</v>
      </c>
      <c r="E4" s="6" t="s">
        <v>71</v>
      </c>
      <c r="F4" s="5" t="s">
        <v>198</v>
      </c>
      <c r="G4" s="6" t="s">
        <v>197</v>
      </c>
      <c r="H4" s="5" t="str">
        <f>"000179"</f>
        <v>000179</v>
      </c>
      <c r="I4" s="4">
        <v>42760</v>
      </c>
      <c r="J4" s="5" t="str">
        <f>"000146"</f>
        <v>000146</v>
      </c>
      <c r="K4" s="4">
        <v>42824</v>
      </c>
      <c r="L4" s="5" t="str">
        <f>"000542"</f>
        <v>000542</v>
      </c>
      <c r="M4" s="4">
        <v>42825</v>
      </c>
      <c r="N4" s="5">
        <v>16</v>
      </c>
      <c r="O4" s="5" t="str">
        <f>"001026"</f>
        <v>001026</v>
      </c>
      <c r="P4" s="4">
        <v>43223</v>
      </c>
      <c r="Q4" s="7">
        <v>9.7679799999999997</v>
      </c>
      <c r="R4" s="7">
        <v>0.72026000000000001</v>
      </c>
      <c r="S4" s="7">
        <v>9.04772</v>
      </c>
      <c r="T4" s="5">
        <v>38</v>
      </c>
      <c r="U4" s="4">
        <v>43225</v>
      </c>
      <c r="V4" s="5">
        <v>123456789</v>
      </c>
      <c r="W4" s="6" t="s">
        <v>196</v>
      </c>
      <c r="X4" s="5" t="s">
        <v>32</v>
      </c>
      <c r="Y4" s="6" t="s">
        <v>33</v>
      </c>
      <c r="Z4" s="5" t="s">
        <v>67</v>
      </c>
      <c r="AA4" s="6" t="s">
        <v>66</v>
      </c>
      <c r="AB4" s="7">
        <v>9.7679799999999997E-2</v>
      </c>
      <c r="AD4" s="8"/>
      <c r="AF4" s="8"/>
      <c r="AG4" s="8"/>
    </row>
    <row r="5" spans="1:33" x14ac:dyDescent="0.2">
      <c r="A5" s="12">
        <v>1291</v>
      </c>
      <c r="B5" s="13" t="s">
        <v>38</v>
      </c>
      <c r="C5" s="13">
        <v>43241</v>
      </c>
      <c r="D5" s="5">
        <v>23</v>
      </c>
      <c r="E5" s="6" t="s">
        <v>71</v>
      </c>
      <c r="F5" s="5" t="s">
        <v>83</v>
      </c>
      <c r="G5" s="6" t="s">
        <v>82</v>
      </c>
      <c r="H5" s="5" t="str">
        <f>"000204"</f>
        <v>000204</v>
      </c>
      <c r="I5" s="4">
        <v>43112</v>
      </c>
      <c r="J5" s="5" t="str">
        <f>"000016"</f>
        <v>000016</v>
      </c>
      <c r="K5" s="4">
        <v>43229</v>
      </c>
      <c r="L5" s="5" t="str">
        <f>"000032"</f>
        <v>000032</v>
      </c>
      <c r="M5" s="4">
        <v>43229</v>
      </c>
      <c r="N5" s="5">
        <v>17</v>
      </c>
      <c r="O5" s="5" t="str">
        <f>"001659"</f>
        <v>001659</v>
      </c>
      <c r="P5" s="4">
        <v>43239</v>
      </c>
      <c r="Q5" s="7">
        <v>274.48840999999999</v>
      </c>
      <c r="R5" s="7">
        <v>13.366</v>
      </c>
      <c r="S5" s="7">
        <v>261.12241</v>
      </c>
      <c r="T5" s="5">
        <v>55</v>
      </c>
      <c r="U5" s="4">
        <v>43241</v>
      </c>
      <c r="V5" s="5">
        <v>9036304747</v>
      </c>
      <c r="W5" s="6" t="s">
        <v>81</v>
      </c>
      <c r="X5" s="5" t="s">
        <v>29</v>
      </c>
      <c r="Y5" s="6" t="s">
        <v>30</v>
      </c>
      <c r="Z5" s="5" t="s">
        <v>67</v>
      </c>
      <c r="AA5" s="6" t="s">
        <v>66</v>
      </c>
      <c r="AB5" s="7">
        <v>2.7448840999999997</v>
      </c>
      <c r="AD5" s="8"/>
      <c r="AF5" s="8"/>
      <c r="AG5" s="8"/>
    </row>
    <row r="6" spans="1:33" x14ac:dyDescent="0.2">
      <c r="A6" s="12">
        <v>1413</v>
      </c>
      <c r="B6" s="13" t="s">
        <v>38</v>
      </c>
      <c r="C6" s="13">
        <v>43242</v>
      </c>
      <c r="D6" s="5">
        <v>23</v>
      </c>
      <c r="E6" s="6" t="s">
        <v>71</v>
      </c>
      <c r="F6" s="5" t="s">
        <v>195</v>
      </c>
      <c r="G6" s="6" t="s">
        <v>194</v>
      </c>
      <c r="H6" s="5" t="str">
        <f>"000011"</f>
        <v>000011</v>
      </c>
      <c r="I6" s="4">
        <v>43219</v>
      </c>
      <c r="J6" s="5" t="str">
        <f>"000009"</f>
        <v>000009</v>
      </c>
      <c r="K6" s="4">
        <v>43219</v>
      </c>
      <c r="L6" s="5" t="str">
        <f>"000024"</f>
        <v>000024</v>
      </c>
      <c r="M6" s="4">
        <v>43219</v>
      </c>
      <c r="N6" s="5">
        <v>18</v>
      </c>
      <c r="O6" s="5" t="str">
        <f>"001594"</f>
        <v>001594</v>
      </c>
      <c r="P6" s="4">
        <v>43238</v>
      </c>
      <c r="Q6" s="7">
        <v>29.30847</v>
      </c>
      <c r="R6" s="7">
        <v>2.74892</v>
      </c>
      <c r="S6" s="7">
        <v>26.559550000000002</v>
      </c>
      <c r="T6" s="5">
        <v>61</v>
      </c>
      <c r="U6" s="4">
        <v>43242</v>
      </c>
      <c r="V6" s="5">
        <v>123456789</v>
      </c>
      <c r="W6" s="6" t="s">
        <v>193</v>
      </c>
      <c r="X6" s="5" t="s">
        <v>53</v>
      </c>
      <c r="Y6" s="6" t="s">
        <v>52</v>
      </c>
      <c r="Z6" s="5" t="s">
        <v>67</v>
      </c>
      <c r="AA6" s="6" t="s">
        <v>66</v>
      </c>
      <c r="AB6" s="7">
        <v>0.29308469999999998</v>
      </c>
      <c r="AD6" s="8"/>
      <c r="AF6" s="8"/>
      <c r="AG6" s="8"/>
    </row>
    <row r="7" spans="1:33" x14ac:dyDescent="0.2">
      <c r="A7" s="12">
        <v>1741</v>
      </c>
      <c r="B7" s="13" t="s">
        <v>37</v>
      </c>
      <c r="C7" s="13">
        <v>43257</v>
      </c>
      <c r="D7" s="5">
        <v>23</v>
      </c>
      <c r="E7" s="6" t="s">
        <v>71</v>
      </c>
      <c r="F7" s="5" t="s">
        <v>192</v>
      </c>
      <c r="G7" s="6" t="s">
        <v>191</v>
      </c>
      <c r="H7" s="5" t="str">
        <f>"000192"</f>
        <v>000192</v>
      </c>
      <c r="I7" s="4">
        <v>41912</v>
      </c>
      <c r="J7" s="5" t="str">
        <f>"000034"</f>
        <v>000034</v>
      </c>
      <c r="K7" s="4">
        <v>42632</v>
      </c>
      <c r="L7" s="5" t="str">
        <f>"000250"</f>
        <v>000250</v>
      </c>
      <c r="M7" s="4">
        <v>42632</v>
      </c>
      <c r="N7" s="5">
        <v>14</v>
      </c>
      <c r="O7" s="5" t="str">
        <f>"002190"</f>
        <v>002190</v>
      </c>
      <c r="P7" s="4">
        <v>43255</v>
      </c>
      <c r="Q7" s="7">
        <v>43.516550000000002</v>
      </c>
      <c r="R7" s="7">
        <v>5.7031499999999999</v>
      </c>
      <c r="S7" s="7">
        <v>37.813400000000001</v>
      </c>
      <c r="T7" s="5">
        <v>71</v>
      </c>
      <c r="U7" s="4">
        <v>43257</v>
      </c>
      <c r="V7" s="5">
        <v>9964929025</v>
      </c>
      <c r="W7" s="6" t="s">
        <v>190</v>
      </c>
      <c r="X7" s="5" t="s">
        <v>189</v>
      </c>
      <c r="Y7" s="6" t="s">
        <v>188</v>
      </c>
      <c r="Z7" s="5" t="s">
        <v>67</v>
      </c>
      <c r="AA7" s="6" t="s">
        <v>66</v>
      </c>
      <c r="AB7" s="7">
        <v>0.43516550000000004</v>
      </c>
      <c r="AD7" s="8"/>
      <c r="AF7" s="8"/>
      <c r="AG7" s="8"/>
    </row>
    <row r="8" spans="1:33" x14ac:dyDescent="0.2">
      <c r="A8" s="12">
        <v>1742</v>
      </c>
      <c r="B8" s="13" t="s">
        <v>37</v>
      </c>
      <c r="C8" s="13">
        <v>43257</v>
      </c>
      <c r="D8" s="5">
        <v>23</v>
      </c>
      <c r="E8" s="6" t="s">
        <v>71</v>
      </c>
      <c r="F8" s="5" t="s">
        <v>187</v>
      </c>
      <c r="G8" s="6" t="s">
        <v>186</v>
      </c>
      <c r="H8" s="5" t="str">
        <f>"000160"</f>
        <v>000160</v>
      </c>
      <c r="I8" s="4">
        <v>43096</v>
      </c>
      <c r="J8" s="5" t="str">
        <f>"000113"</f>
        <v>000113</v>
      </c>
      <c r="K8" s="4">
        <v>43125</v>
      </c>
      <c r="L8" s="5" t="str">
        <f>"000339"</f>
        <v>000339</v>
      </c>
      <c r="M8" s="4">
        <v>43125</v>
      </c>
      <c r="N8" s="5">
        <v>18</v>
      </c>
      <c r="O8" s="5" t="str">
        <f>"002024"</f>
        <v>002024</v>
      </c>
      <c r="P8" s="4">
        <v>43248</v>
      </c>
      <c r="Q8" s="7">
        <v>19.83606</v>
      </c>
      <c r="R8" s="7">
        <v>1.6319999999999999</v>
      </c>
      <c r="S8" s="7">
        <v>18.204059999999998</v>
      </c>
      <c r="T8" s="5">
        <v>72</v>
      </c>
      <c r="U8" s="4">
        <v>43257</v>
      </c>
      <c r="V8" s="5">
        <v>123456789</v>
      </c>
      <c r="W8" s="6" t="s">
        <v>185</v>
      </c>
      <c r="X8" s="5" t="s">
        <v>42</v>
      </c>
      <c r="Y8" s="6" t="s">
        <v>43</v>
      </c>
      <c r="Z8" s="5" t="s">
        <v>67</v>
      </c>
      <c r="AA8" s="6" t="s">
        <v>66</v>
      </c>
      <c r="AB8" s="7">
        <v>0.1983606</v>
      </c>
      <c r="AD8" s="8"/>
      <c r="AF8" s="8"/>
      <c r="AG8" s="8"/>
    </row>
    <row r="9" spans="1:33" x14ac:dyDescent="0.2">
      <c r="A9" s="12">
        <v>1743</v>
      </c>
      <c r="B9" s="13" t="s">
        <v>37</v>
      </c>
      <c r="C9" s="13">
        <v>43257</v>
      </c>
      <c r="D9" s="5">
        <v>23</v>
      </c>
      <c r="E9" s="6" t="s">
        <v>71</v>
      </c>
      <c r="F9" s="5" t="s">
        <v>184</v>
      </c>
      <c r="G9" s="6" t="s">
        <v>183</v>
      </c>
      <c r="H9" s="5" t="str">
        <f>"000316"</f>
        <v>000316</v>
      </c>
      <c r="I9" s="4">
        <v>43160</v>
      </c>
      <c r="J9" s="5" t="str">
        <f>"000013"</f>
        <v>000013</v>
      </c>
      <c r="K9" s="4">
        <v>43228</v>
      </c>
      <c r="L9" s="5" t="str">
        <f>"000029"</f>
        <v>000029</v>
      </c>
      <c r="M9" s="4">
        <v>43228</v>
      </c>
      <c r="N9" s="5">
        <v>18</v>
      </c>
      <c r="O9" s="5" t="str">
        <f>"001770"</f>
        <v>001770</v>
      </c>
      <c r="P9" s="4">
        <v>43243</v>
      </c>
      <c r="Q9" s="7">
        <v>47.751069999999999</v>
      </c>
      <c r="R9" s="7">
        <v>4.7270000000000003</v>
      </c>
      <c r="S9" s="7">
        <v>43.024070000000002</v>
      </c>
      <c r="T9" s="5">
        <v>73</v>
      </c>
      <c r="U9" s="4">
        <v>43257</v>
      </c>
      <c r="V9" s="5">
        <v>123456789</v>
      </c>
      <c r="W9" s="6" t="s">
        <v>72</v>
      </c>
      <c r="X9" s="5" t="s">
        <v>40</v>
      </c>
      <c r="Y9" s="6" t="s">
        <v>41</v>
      </c>
      <c r="Z9" s="5" t="s">
        <v>67</v>
      </c>
      <c r="AA9" s="6" t="s">
        <v>66</v>
      </c>
      <c r="AB9" s="7">
        <v>0.47751070000000001</v>
      </c>
      <c r="AD9" s="8"/>
      <c r="AF9" s="8"/>
      <c r="AG9" s="8"/>
    </row>
    <row r="10" spans="1:33" x14ac:dyDescent="0.2">
      <c r="A10" s="12">
        <v>1744</v>
      </c>
      <c r="B10" s="13" t="s">
        <v>37</v>
      </c>
      <c r="C10" s="13">
        <v>43257</v>
      </c>
      <c r="D10" s="5">
        <v>23</v>
      </c>
      <c r="E10" s="6" t="s">
        <v>71</v>
      </c>
      <c r="F10" s="5" t="s">
        <v>182</v>
      </c>
      <c r="G10" s="6" t="s">
        <v>181</v>
      </c>
      <c r="H10" s="5" t="str">
        <f>"000313"</f>
        <v>000313</v>
      </c>
      <c r="I10" s="4">
        <v>43160</v>
      </c>
      <c r="J10" s="5" t="str">
        <f>"000014"</f>
        <v>000014</v>
      </c>
      <c r="K10" s="4">
        <v>43228</v>
      </c>
      <c r="L10" s="5" t="str">
        <f>"000030"</f>
        <v>000030</v>
      </c>
      <c r="M10" s="4">
        <v>43228</v>
      </c>
      <c r="N10" s="5">
        <v>18</v>
      </c>
      <c r="O10" s="5" t="str">
        <f>"001771"</f>
        <v>001771</v>
      </c>
      <c r="P10" s="4">
        <v>43243</v>
      </c>
      <c r="Q10" s="7">
        <v>49.481830000000002</v>
      </c>
      <c r="R10" s="7">
        <v>4.835</v>
      </c>
      <c r="S10" s="7">
        <v>44.646830000000001</v>
      </c>
      <c r="T10" s="5">
        <v>73</v>
      </c>
      <c r="U10" s="4">
        <v>43257</v>
      </c>
      <c r="V10" s="5">
        <v>9638520741</v>
      </c>
      <c r="W10" s="6" t="s">
        <v>72</v>
      </c>
      <c r="X10" s="5" t="s">
        <v>40</v>
      </c>
      <c r="Y10" s="6" t="s">
        <v>41</v>
      </c>
      <c r="Z10" s="5" t="s">
        <v>67</v>
      </c>
      <c r="AA10" s="6" t="s">
        <v>66</v>
      </c>
      <c r="AB10" s="7">
        <v>0.49481830000000004</v>
      </c>
      <c r="AD10" s="8"/>
      <c r="AF10" s="8"/>
      <c r="AG10" s="8"/>
    </row>
    <row r="11" spans="1:33" x14ac:dyDescent="0.2">
      <c r="A11" s="12">
        <v>1745</v>
      </c>
      <c r="B11" s="13" t="s">
        <v>37</v>
      </c>
      <c r="C11" s="13">
        <v>43257</v>
      </c>
      <c r="D11" s="5">
        <v>23</v>
      </c>
      <c r="E11" s="6" t="s">
        <v>71</v>
      </c>
      <c r="F11" s="5" t="s">
        <v>180</v>
      </c>
      <c r="G11" s="6" t="s">
        <v>179</v>
      </c>
      <c r="H11" s="5" t="str">
        <f>"000315"</f>
        <v>000315</v>
      </c>
      <c r="I11" s="4">
        <v>43160</v>
      </c>
      <c r="J11" s="5" t="str">
        <f>"000015"</f>
        <v>000015</v>
      </c>
      <c r="K11" s="4">
        <v>43229</v>
      </c>
      <c r="L11" s="5" t="str">
        <f>"000031"</f>
        <v>000031</v>
      </c>
      <c r="M11" s="4">
        <v>43229</v>
      </c>
      <c r="N11" s="5">
        <v>18</v>
      </c>
      <c r="O11" s="5" t="str">
        <f>"001772"</f>
        <v>001772</v>
      </c>
      <c r="P11" s="4">
        <v>43243</v>
      </c>
      <c r="Q11" s="7">
        <v>39.910220000000002</v>
      </c>
      <c r="R11" s="7">
        <v>3.98</v>
      </c>
      <c r="S11" s="7">
        <v>35.930219999999998</v>
      </c>
      <c r="T11" s="5">
        <v>73</v>
      </c>
      <c r="U11" s="4">
        <v>43257</v>
      </c>
      <c r="V11" s="5">
        <v>123456789</v>
      </c>
      <c r="W11" s="6" t="s">
        <v>72</v>
      </c>
      <c r="X11" s="5" t="s">
        <v>40</v>
      </c>
      <c r="Y11" s="6" t="s">
        <v>41</v>
      </c>
      <c r="Z11" s="5" t="s">
        <v>67</v>
      </c>
      <c r="AA11" s="6" t="s">
        <v>66</v>
      </c>
      <c r="AB11" s="7">
        <v>0.39910220000000002</v>
      </c>
      <c r="AD11" s="8"/>
      <c r="AF11" s="8"/>
      <c r="AG11" s="8"/>
    </row>
    <row r="12" spans="1:33" x14ac:dyDescent="0.2">
      <c r="A12" s="12">
        <v>1746</v>
      </c>
      <c r="B12" s="13" t="s">
        <v>37</v>
      </c>
      <c r="C12" s="13">
        <v>43257</v>
      </c>
      <c r="D12" s="5">
        <v>23</v>
      </c>
      <c r="E12" s="6" t="s">
        <v>71</v>
      </c>
      <c r="F12" s="5" t="s">
        <v>178</v>
      </c>
      <c r="G12" s="6" t="s">
        <v>177</v>
      </c>
      <c r="H12" s="5" t="str">
        <f>"000015"</f>
        <v>000015</v>
      </c>
      <c r="I12" s="4">
        <v>43228</v>
      </c>
      <c r="J12" s="5" t="str">
        <f>"000012"</f>
        <v>000012</v>
      </c>
      <c r="K12" s="4">
        <v>43228</v>
      </c>
      <c r="L12" s="5" t="str">
        <f>"000028"</f>
        <v>000028</v>
      </c>
      <c r="M12" s="4">
        <v>43228</v>
      </c>
      <c r="N12" s="5">
        <v>18</v>
      </c>
      <c r="O12" s="5" t="str">
        <f>"002076"</f>
        <v>002076</v>
      </c>
      <c r="P12" s="4">
        <v>43251</v>
      </c>
      <c r="Q12" s="7">
        <v>49.764249999999997</v>
      </c>
      <c r="R12" s="7">
        <v>4.9215</v>
      </c>
      <c r="S12" s="7">
        <v>44.842750000000002</v>
      </c>
      <c r="T12" s="5">
        <v>73</v>
      </c>
      <c r="U12" s="4">
        <v>43257</v>
      </c>
      <c r="V12" s="5">
        <v>123456789</v>
      </c>
      <c r="W12" s="6" t="s">
        <v>176</v>
      </c>
      <c r="X12" s="5" t="s">
        <v>40</v>
      </c>
      <c r="Y12" s="6" t="s">
        <v>41</v>
      </c>
      <c r="Z12" s="5" t="s">
        <v>67</v>
      </c>
      <c r="AA12" s="6" t="s">
        <v>66</v>
      </c>
      <c r="AB12" s="7">
        <v>0.49764249999999999</v>
      </c>
      <c r="AD12" s="8"/>
      <c r="AF12" s="8"/>
      <c r="AG12" s="8"/>
    </row>
    <row r="13" spans="1:33" x14ac:dyDescent="0.2">
      <c r="A13" s="12">
        <v>2131</v>
      </c>
      <c r="B13" s="13" t="s">
        <v>37</v>
      </c>
      <c r="C13" s="13">
        <v>43265</v>
      </c>
      <c r="D13" s="5">
        <v>23</v>
      </c>
      <c r="E13" s="6" t="s">
        <v>71</v>
      </c>
      <c r="F13" s="5" t="s">
        <v>175</v>
      </c>
      <c r="G13" s="6" t="s">
        <v>174</v>
      </c>
      <c r="H13" s="5" t="str">
        <f>"000250"</f>
        <v>000250</v>
      </c>
      <c r="I13" s="4">
        <v>43140</v>
      </c>
      <c r="J13" s="5" t="str">
        <f>"000033"</f>
        <v>000033</v>
      </c>
      <c r="K13" s="4">
        <v>43249</v>
      </c>
      <c r="L13" s="5" t="str">
        <f>"000053"</f>
        <v>000053</v>
      </c>
      <c r="M13" s="4">
        <v>43249</v>
      </c>
      <c r="N13" s="5">
        <v>18</v>
      </c>
      <c r="O13" s="5" t="str">
        <f>"002471"</f>
        <v>002471</v>
      </c>
      <c r="P13" s="4">
        <v>43263</v>
      </c>
      <c r="Q13" s="7">
        <v>14.95857</v>
      </c>
      <c r="R13" s="7">
        <v>1.3585700000000001</v>
      </c>
      <c r="S13" s="7">
        <v>13.6</v>
      </c>
      <c r="T13" s="5">
        <v>84</v>
      </c>
      <c r="U13" s="4">
        <v>43265</v>
      </c>
      <c r="V13" s="5">
        <v>123456789</v>
      </c>
      <c r="W13" s="6" t="s">
        <v>75</v>
      </c>
      <c r="X13" s="5" t="s">
        <v>46</v>
      </c>
      <c r="Y13" s="6" t="s">
        <v>47</v>
      </c>
      <c r="Z13" s="5" t="s">
        <v>67</v>
      </c>
      <c r="AA13" s="6" t="s">
        <v>66</v>
      </c>
      <c r="AB13" s="7">
        <v>0.14958569999999999</v>
      </c>
      <c r="AD13" s="8"/>
      <c r="AF13" s="8"/>
      <c r="AG13" s="8"/>
    </row>
    <row r="14" spans="1:33" x14ac:dyDescent="0.2">
      <c r="A14" s="12">
        <v>2132</v>
      </c>
      <c r="B14" s="13" t="s">
        <v>37</v>
      </c>
      <c r="C14" s="13">
        <v>43265</v>
      </c>
      <c r="D14" s="5">
        <v>23</v>
      </c>
      <c r="E14" s="6" t="s">
        <v>71</v>
      </c>
      <c r="F14" s="5" t="s">
        <v>173</v>
      </c>
      <c r="G14" s="6" t="s">
        <v>172</v>
      </c>
      <c r="H14" s="5" t="str">
        <f>"000248"</f>
        <v>000248</v>
      </c>
      <c r="I14" s="4">
        <v>43140</v>
      </c>
      <c r="J14" s="5" t="str">
        <f>"000031"</f>
        <v>000031</v>
      </c>
      <c r="K14" s="4">
        <v>43249</v>
      </c>
      <c r="L14" s="5" t="str">
        <f>"000051"</f>
        <v>000051</v>
      </c>
      <c r="M14" s="4">
        <v>43249</v>
      </c>
      <c r="N14" s="5">
        <v>18</v>
      </c>
      <c r="O14" s="5" t="str">
        <f>"002474"</f>
        <v>002474</v>
      </c>
      <c r="P14" s="4">
        <v>43263</v>
      </c>
      <c r="Q14" s="7">
        <v>4.9834300000000002</v>
      </c>
      <c r="R14" s="7">
        <v>0.438</v>
      </c>
      <c r="S14" s="7">
        <v>4.5454299999999996</v>
      </c>
      <c r="T14" s="5">
        <v>84</v>
      </c>
      <c r="U14" s="4">
        <v>43265</v>
      </c>
      <c r="V14" s="5">
        <v>123456789</v>
      </c>
      <c r="W14" s="6" t="s">
        <v>171</v>
      </c>
      <c r="X14" s="5" t="s">
        <v>57</v>
      </c>
      <c r="Y14" s="6" t="s">
        <v>56</v>
      </c>
      <c r="Z14" s="5" t="s">
        <v>67</v>
      </c>
      <c r="AA14" s="6" t="s">
        <v>66</v>
      </c>
      <c r="AB14" s="7">
        <v>4.9834300000000005E-2</v>
      </c>
      <c r="AD14" s="8"/>
      <c r="AF14" s="8"/>
      <c r="AG14" s="8"/>
    </row>
    <row r="15" spans="1:33" x14ac:dyDescent="0.2">
      <c r="A15" s="12">
        <v>2133</v>
      </c>
      <c r="B15" s="13" t="s">
        <v>37</v>
      </c>
      <c r="C15" s="13">
        <v>43265</v>
      </c>
      <c r="D15" s="5">
        <v>23</v>
      </c>
      <c r="E15" s="6" t="s">
        <v>71</v>
      </c>
      <c r="F15" s="5" t="s">
        <v>170</v>
      </c>
      <c r="G15" s="6" t="s">
        <v>169</v>
      </c>
      <c r="H15" s="5" t="str">
        <f>"000247"</f>
        <v>000247</v>
      </c>
      <c r="I15" s="4">
        <v>43140</v>
      </c>
      <c r="J15" s="5" t="str">
        <f>"000032"</f>
        <v>000032</v>
      </c>
      <c r="K15" s="4">
        <v>43249</v>
      </c>
      <c r="L15" s="5" t="str">
        <f>"000052"</f>
        <v>000052</v>
      </c>
      <c r="M15" s="4">
        <v>43249</v>
      </c>
      <c r="N15" s="5">
        <v>18</v>
      </c>
      <c r="O15" s="5" t="str">
        <f>"002475"</f>
        <v>002475</v>
      </c>
      <c r="P15" s="4">
        <v>43263</v>
      </c>
      <c r="Q15" s="7">
        <v>4.9764200000000001</v>
      </c>
      <c r="R15" s="7">
        <v>0.42099999999999999</v>
      </c>
      <c r="S15" s="7">
        <v>4.5554199999999998</v>
      </c>
      <c r="T15" s="5">
        <v>84</v>
      </c>
      <c r="U15" s="4">
        <v>43265</v>
      </c>
      <c r="V15" s="5">
        <v>1234567890</v>
      </c>
      <c r="W15" s="6" t="s">
        <v>75</v>
      </c>
      <c r="X15" s="5" t="s">
        <v>48</v>
      </c>
      <c r="Y15" s="6" t="s">
        <v>49</v>
      </c>
      <c r="Z15" s="5" t="s">
        <v>67</v>
      </c>
      <c r="AA15" s="6" t="s">
        <v>66</v>
      </c>
      <c r="AB15" s="7">
        <v>4.9764200000000001E-2</v>
      </c>
      <c r="AD15" s="8"/>
      <c r="AF15" s="8"/>
      <c r="AG15" s="8"/>
    </row>
    <row r="16" spans="1:33" x14ac:dyDescent="0.2">
      <c r="A16" s="12">
        <v>2209</v>
      </c>
      <c r="B16" s="13" t="s">
        <v>37</v>
      </c>
      <c r="C16" s="13">
        <v>43269</v>
      </c>
      <c r="D16" s="5">
        <v>23</v>
      </c>
      <c r="E16" s="6" t="s">
        <v>71</v>
      </c>
      <c r="F16" s="5" t="s">
        <v>168</v>
      </c>
      <c r="G16" s="6" t="s">
        <v>167</v>
      </c>
      <c r="H16" s="5" t="str">
        <f>"000030"</f>
        <v>000030</v>
      </c>
      <c r="I16" s="4">
        <v>43242</v>
      </c>
      <c r="J16" s="5" t="str">
        <f>"000033"</f>
        <v>000033</v>
      </c>
      <c r="K16" s="4">
        <v>43242</v>
      </c>
      <c r="L16" s="5" t="str">
        <f>"000032"</f>
        <v>000032</v>
      </c>
      <c r="M16" s="4">
        <v>43242</v>
      </c>
      <c r="N16" s="5">
        <v>18</v>
      </c>
      <c r="O16" s="5" t="str">
        <f>"002219"</f>
        <v>002219</v>
      </c>
      <c r="P16" s="4">
        <v>43257</v>
      </c>
      <c r="Q16" s="7">
        <v>9.9205299999999994</v>
      </c>
      <c r="R16" s="7">
        <v>1.2559199999999999</v>
      </c>
      <c r="S16" s="7">
        <v>8.6646099999999997</v>
      </c>
      <c r="T16" s="5">
        <v>93</v>
      </c>
      <c r="U16" s="4">
        <v>43269</v>
      </c>
      <c r="V16" s="5">
        <v>8884570445</v>
      </c>
      <c r="W16" s="6" t="s">
        <v>62</v>
      </c>
      <c r="X16" s="5" t="s">
        <v>53</v>
      </c>
      <c r="Y16" s="6" t="s">
        <v>52</v>
      </c>
      <c r="Z16" s="5" t="s">
        <v>65</v>
      </c>
      <c r="AA16" s="6" t="s">
        <v>64</v>
      </c>
      <c r="AB16" s="7">
        <v>9.9205299999999996E-2</v>
      </c>
      <c r="AD16" s="8"/>
      <c r="AF16" s="8"/>
      <c r="AG16" s="8"/>
    </row>
    <row r="17" spans="1:33" x14ac:dyDescent="0.2">
      <c r="A17" s="12">
        <v>2210</v>
      </c>
      <c r="B17" s="13" t="s">
        <v>37</v>
      </c>
      <c r="C17" s="13">
        <v>43269</v>
      </c>
      <c r="D17" s="5">
        <v>23</v>
      </c>
      <c r="E17" s="6" t="s">
        <v>71</v>
      </c>
      <c r="F17" s="5" t="s">
        <v>166</v>
      </c>
      <c r="G17" s="6" t="s">
        <v>165</v>
      </c>
      <c r="H17" s="5" t="str">
        <f>"000029"</f>
        <v>000029</v>
      </c>
      <c r="I17" s="4">
        <v>43242</v>
      </c>
      <c r="J17" s="5" t="str">
        <f>"000035"</f>
        <v>000035</v>
      </c>
      <c r="K17" s="4">
        <v>43242</v>
      </c>
      <c r="L17" s="5" t="str">
        <f>"000033"</f>
        <v>000033</v>
      </c>
      <c r="M17" s="4">
        <v>43242</v>
      </c>
      <c r="N17" s="5">
        <v>18</v>
      </c>
      <c r="O17" s="5" t="str">
        <f>"002220"</f>
        <v>002220</v>
      </c>
      <c r="P17" s="4">
        <v>43257</v>
      </c>
      <c r="Q17" s="7">
        <v>19.901479999999999</v>
      </c>
      <c r="R17" s="7">
        <v>2.5173399999999999</v>
      </c>
      <c r="S17" s="7">
        <v>17.384139999999999</v>
      </c>
      <c r="T17" s="5">
        <v>93</v>
      </c>
      <c r="U17" s="4">
        <v>43269</v>
      </c>
      <c r="V17" s="5">
        <v>8884570445</v>
      </c>
      <c r="W17" s="6" t="s">
        <v>62</v>
      </c>
      <c r="X17" s="5" t="s">
        <v>53</v>
      </c>
      <c r="Y17" s="6" t="s">
        <v>52</v>
      </c>
      <c r="Z17" s="5" t="s">
        <v>65</v>
      </c>
      <c r="AA17" s="6" t="s">
        <v>64</v>
      </c>
      <c r="AB17" s="7">
        <v>0.19901479999999999</v>
      </c>
      <c r="AD17" s="8"/>
      <c r="AF17" s="8"/>
      <c r="AG17" s="8"/>
    </row>
    <row r="18" spans="1:33" x14ac:dyDescent="0.2">
      <c r="A18" s="12">
        <v>2211</v>
      </c>
      <c r="B18" s="13" t="s">
        <v>37</v>
      </c>
      <c r="C18" s="13">
        <v>43269</v>
      </c>
      <c r="D18" s="5">
        <v>23</v>
      </c>
      <c r="E18" s="6" t="s">
        <v>71</v>
      </c>
      <c r="F18" s="5" t="s">
        <v>164</v>
      </c>
      <c r="G18" s="6" t="s">
        <v>163</v>
      </c>
      <c r="H18" s="5" t="str">
        <f>"000028"</f>
        <v>000028</v>
      </c>
      <c r="I18" s="4">
        <v>43242</v>
      </c>
      <c r="J18" s="5" t="str">
        <f>"000032"</f>
        <v>000032</v>
      </c>
      <c r="K18" s="4">
        <v>43242</v>
      </c>
      <c r="L18" s="5" t="str">
        <f>"000034"</f>
        <v>000034</v>
      </c>
      <c r="M18" s="4">
        <v>43242</v>
      </c>
      <c r="N18" s="5">
        <v>18</v>
      </c>
      <c r="O18" s="5" t="str">
        <f>"002221"</f>
        <v>002221</v>
      </c>
      <c r="P18" s="4">
        <v>43257</v>
      </c>
      <c r="Q18" s="7">
        <v>9.9325700000000001</v>
      </c>
      <c r="R18" s="7">
        <v>1.2548600000000001</v>
      </c>
      <c r="S18" s="7">
        <v>8.6777099999999994</v>
      </c>
      <c r="T18" s="5">
        <v>93</v>
      </c>
      <c r="U18" s="4">
        <v>43269</v>
      </c>
      <c r="V18" s="5">
        <v>8884570445</v>
      </c>
      <c r="W18" s="6" t="s">
        <v>62</v>
      </c>
      <c r="X18" s="5" t="s">
        <v>53</v>
      </c>
      <c r="Y18" s="6" t="s">
        <v>52</v>
      </c>
      <c r="Z18" s="5" t="s">
        <v>65</v>
      </c>
      <c r="AA18" s="6" t="s">
        <v>64</v>
      </c>
      <c r="AB18" s="7">
        <v>9.9325700000000003E-2</v>
      </c>
      <c r="AD18" s="8"/>
      <c r="AF18" s="8"/>
      <c r="AG18" s="8"/>
    </row>
    <row r="19" spans="1:33" x14ac:dyDescent="0.2">
      <c r="A19" s="12">
        <v>2212</v>
      </c>
      <c r="B19" s="13" t="s">
        <v>37</v>
      </c>
      <c r="C19" s="13">
        <v>43269</v>
      </c>
      <c r="D19" s="5">
        <v>23</v>
      </c>
      <c r="E19" s="6" t="s">
        <v>71</v>
      </c>
      <c r="F19" s="5" t="s">
        <v>162</v>
      </c>
      <c r="G19" s="6" t="s">
        <v>161</v>
      </c>
      <c r="H19" s="5" t="str">
        <f>"000027"</f>
        <v>000027</v>
      </c>
      <c r="I19" s="4">
        <v>43241</v>
      </c>
      <c r="J19" s="5" t="str">
        <f>"000034"</f>
        <v>000034</v>
      </c>
      <c r="K19" s="4">
        <v>43242</v>
      </c>
      <c r="L19" s="5" t="str">
        <f>"000035"</f>
        <v>000035</v>
      </c>
      <c r="M19" s="4">
        <v>43242</v>
      </c>
      <c r="N19" s="5">
        <v>18</v>
      </c>
      <c r="O19" s="5" t="str">
        <f>"002222"</f>
        <v>002222</v>
      </c>
      <c r="P19" s="4">
        <v>43257</v>
      </c>
      <c r="Q19" s="7">
        <v>19.922229999999999</v>
      </c>
      <c r="R19" s="7">
        <v>2.5211600000000001</v>
      </c>
      <c r="S19" s="7">
        <v>17.401070000000001</v>
      </c>
      <c r="T19" s="5">
        <v>93</v>
      </c>
      <c r="U19" s="4">
        <v>43269</v>
      </c>
      <c r="V19" s="5">
        <v>8884570445</v>
      </c>
      <c r="W19" s="6" t="s">
        <v>62</v>
      </c>
      <c r="X19" s="5" t="s">
        <v>53</v>
      </c>
      <c r="Y19" s="6" t="s">
        <v>52</v>
      </c>
      <c r="Z19" s="5" t="s">
        <v>65</v>
      </c>
      <c r="AA19" s="6" t="s">
        <v>64</v>
      </c>
      <c r="AB19" s="7">
        <v>0.19922229999999999</v>
      </c>
      <c r="AD19" s="8"/>
      <c r="AF19" s="8"/>
      <c r="AG19" s="8"/>
    </row>
    <row r="20" spans="1:33" x14ac:dyDescent="0.2">
      <c r="A20" s="12">
        <v>2213</v>
      </c>
      <c r="B20" s="13" t="s">
        <v>37</v>
      </c>
      <c r="C20" s="13">
        <v>43269</v>
      </c>
      <c r="D20" s="5">
        <v>23</v>
      </c>
      <c r="E20" s="6" t="s">
        <v>71</v>
      </c>
      <c r="F20" s="5" t="s">
        <v>160</v>
      </c>
      <c r="G20" s="6" t="s">
        <v>159</v>
      </c>
      <c r="H20" s="5" t="str">
        <f>"000023"</f>
        <v>000023</v>
      </c>
      <c r="I20" s="4">
        <v>43241</v>
      </c>
      <c r="J20" s="5" t="str">
        <f>"000028"</f>
        <v>000028</v>
      </c>
      <c r="K20" s="4">
        <v>43241</v>
      </c>
      <c r="L20" s="5" t="str">
        <f>"000028"</f>
        <v>000028</v>
      </c>
      <c r="M20" s="4">
        <v>43241</v>
      </c>
      <c r="N20" s="5">
        <v>18</v>
      </c>
      <c r="O20" s="5" t="str">
        <f>"002224"</f>
        <v>002224</v>
      </c>
      <c r="P20" s="4">
        <v>43257</v>
      </c>
      <c r="Q20" s="7">
        <v>9.9232999999999993</v>
      </c>
      <c r="R20" s="7">
        <v>1.2594799999999999</v>
      </c>
      <c r="S20" s="7">
        <v>8.6638199999999994</v>
      </c>
      <c r="T20" s="5">
        <v>93</v>
      </c>
      <c r="U20" s="4">
        <v>43269</v>
      </c>
      <c r="V20" s="5">
        <v>8884570445</v>
      </c>
      <c r="W20" s="6" t="s">
        <v>158</v>
      </c>
      <c r="X20" s="5" t="s">
        <v>53</v>
      </c>
      <c r="Y20" s="6" t="s">
        <v>52</v>
      </c>
      <c r="Z20" s="5" t="s">
        <v>65</v>
      </c>
      <c r="AA20" s="6" t="s">
        <v>64</v>
      </c>
      <c r="AB20" s="7">
        <v>9.9232999999999988E-2</v>
      </c>
      <c r="AD20" s="8"/>
      <c r="AF20" s="8"/>
      <c r="AG20" s="8"/>
    </row>
    <row r="21" spans="1:33" x14ac:dyDescent="0.2">
      <c r="A21" s="12">
        <v>2214</v>
      </c>
      <c r="B21" s="13" t="s">
        <v>37</v>
      </c>
      <c r="C21" s="13">
        <v>43269</v>
      </c>
      <c r="D21" s="5">
        <v>23</v>
      </c>
      <c r="E21" s="6" t="s">
        <v>71</v>
      </c>
      <c r="F21" s="5" t="s">
        <v>157</v>
      </c>
      <c r="G21" s="6" t="s">
        <v>156</v>
      </c>
      <c r="H21" s="5" t="str">
        <f>"000024"</f>
        <v>000024</v>
      </c>
      <c r="I21" s="4">
        <v>43241</v>
      </c>
      <c r="J21" s="5" t="str">
        <f>"000029"</f>
        <v>000029</v>
      </c>
      <c r="K21" s="4">
        <v>43241</v>
      </c>
      <c r="L21" s="5" t="str">
        <f>"000029"</f>
        <v>000029</v>
      </c>
      <c r="M21" s="4">
        <v>43241</v>
      </c>
      <c r="N21" s="5">
        <v>18</v>
      </c>
      <c r="O21" s="5" t="str">
        <f>"002226"</f>
        <v>002226</v>
      </c>
      <c r="P21" s="4">
        <v>43257</v>
      </c>
      <c r="Q21" s="7">
        <v>9.9244000000000003</v>
      </c>
      <c r="R21" s="7">
        <v>1.2569999999999999</v>
      </c>
      <c r="S21" s="7">
        <v>8.6674000000000007</v>
      </c>
      <c r="T21" s="5">
        <v>93</v>
      </c>
      <c r="U21" s="4">
        <v>43269</v>
      </c>
      <c r="V21" s="5">
        <v>8884570445</v>
      </c>
      <c r="W21" s="6" t="s">
        <v>62</v>
      </c>
      <c r="X21" s="5" t="s">
        <v>53</v>
      </c>
      <c r="Y21" s="6" t="s">
        <v>52</v>
      </c>
      <c r="Z21" s="5" t="s">
        <v>65</v>
      </c>
      <c r="AA21" s="6" t="s">
        <v>64</v>
      </c>
      <c r="AB21" s="7">
        <v>9.9243999999999999E-2</v>
      </c>
      <c r="AD21" s="8"/>
      <c r="AF21" s="8"/>
      <c r="AG21" s="8"/>
    </row>
    <row r="22" spans="1:33" x14ac:dyDescent="0.2">
      <c r="A22" s="12">
        <v>2215</v>
      </c>
      <c r="B22" s="13" t="s">
        <v>37</v>
      </c>
      <c r="C22" s="13">
        <v>43269</v>
      </c>
      <c r="D22" s="5">
        <v>23</v>
      </c>
      <c r="E22" s="6" t="s">
        <v>71</v>
      </c>
      <c r="F22" s="5" t="s">
        <v>155</v>
      </c>
      <c r="G22" s="6" t="s">
        <v>154</v>
      </c>
      <c r="H22" s="5" t="str">
        <f>"000025"</f>
        <v>000025</v>
      </c>
      <c r="I22" s="4">
        <v>43241</v>
      </c>
      <c r="J22" s="5" t="str">
        <f>"000030"</f>
        <v>000030</v>
      </c>
      <c r="K22" s="4">
        <v>43241</v>
      </c>
      <c r="L22" s="5" t="str">
        <f>"000030"</f>
        <v>000030</v>
      </c>
      <c r="M22" s="4">
        <v>43241</v>
      </c>
      <c r="N22" s="5">
        <v>18</v>
      </c>
      <c r="O22" s="5" t="str">
        <f>"002227"</f>
        <v>002227</v>
      </c>
      <c r="P22" s="4">
        <v>43257</v>
      </c>
      <c r="Q22" s="7">
        <v>9.9218600000000006</v>
      </c>
      <c r="R22" s="7">
        <v>1.2577400000000001</v>
      </c>
      <c r="S22" s="7">
        <v>8.6641200000000005</v>
      </c>
      <c r="T22" s="5">
        <v>93</v>
      </c>
      <c r="U22" s="4">
        <v>43269</v>
      </c>
      <c r="V22" s="5">
        <v>8884570445</v>
      </c>
      <c r="W22" s="6" t="s">
        <v>62</v>
      </c>
      <c r="X22" s="5" t="s">
        <v>53</v>
      </c>
      <c r="Y22" s="6" t="s">
        <v>52</v>
      </c>
      <c r="Z22" s="5" t="s">
        <v>65</v>
      </c>
      <c r="AA22" s="6" t="s">
        <v>64</v>
      </c>
      <c r="AB22" s="7">
        <v>9.9218600000000004E-2</v>
      </c>
      <c r="AD22" s="8"/>
      <c r="AF22" s="8"/>
      <c r="AG22" s="8"/>
    </row>
    <row r="23" spans="1:33" x14ac:dyDescent="0.2">
      <c r="A23" s="12">
        <v>2216</v>
      </c>
      <c r="B23" s="13" t="s">
        <v>37</v>
      </c>
      <c r="C23" s="13">
        <v>43269</v>
      </c>
      <c r="D23" s="5">
        <v>23</v>
      </c>
      <c r="E23" s="6" t="s">
        <v>71</v>
      </c>
      <c r="F23" s="5" t="s">
        <v>153</v>
      </c>
      <c r="G23" s="6" t="s">
        <v>152</v>
      </c>
      <c r="H23" s="5" t="str">
        <f>"000026"</f>
        <v>000026</v>
      </c>
      <c r="I23" s="4">
        <v>43241</v>
      </c>
      <c r="J23" s="5" t="str">
        <f>"000031"</f>
        <v>000031</v>
      </c>
      <c r="K23" s="4">
        <v>43241</v>
      </c>
      <c r="L23" s="5" t="str">
        <f>"000031"</f>
        <v>000031</v>
      </c>
      <c r="M23" s="4">
        <v>43241</v>
      </c>
      <c r="N23" s="5">
        <v>18</v>
      </c>
      <c r="O23" s="5" t="str">
        <f>"002230"</f>
        <v>002230</v>
      </c>
      <c r="P23" s="4">
        <v>43257</v>
      </c>
      <c r="Q23" s="7">
        <v>19.94548</v>
      </c>
      <c r="R23" s="7">
        <v>2.5232199999999998</v>
      </c>
      <c r="S23" s="7">
        <v>17.422260000000001</v>
      </c>
      <c r="T23" s="5">
        <v>93</v>
      </c>
      <c r="U23" s="4">
        <v>43269</v>
      </c>
      <c r="V23" s="5">
        <v>8884570445</v>
      </c>
      <c r="W23" s="6" t="s">
        <v>62</v>
      </c>
      <c r="X23" s="5" t="s">
        <v>53</v>
      </c>
      <c r="Y23" s="6" t="s">
        <v>52</v>
      </c>
      <c r="Z23" s="5" t="s">
        <v>65</v>
      </c>
      <c r="AA23" s="6" t="s">
        <v>64</v>
      </c>
      <c r="AB23" s="7">
        <v>0.19945479999999999</v>
      </c>
      <c r="AD23" s="8"/>
      <c r="AF23" s="8"/>
      <c r="AG23" s="8"/>
    </row>
    <row r="24" spans="1:33" x14ac:dyDescent="0.2">
      <c r="A24" s="12">
        <v>2394</v>
      </c>
      <c r="B24" s="13" t="s">
        <v>37</v>
      </c>
      <c r="C24" s="13">
        <v>43271</v>
      </c>
      <c r="D24" s="5">
        <v>23</v>
      </c>
      <c r="E24" s="6" t="s">
        <v>71</v>
      </c>
      <c r="F24" s="5" t="s">
        <v>151</v>
      </c>
      <c r="G24" s="6" t="s">
        <v>150</v>
      </c>
      <c r="H24" s="5" t="str">
        <f>"000027"</f>
        <v>000027</v>
      </c>
      <c r="I24" s="4">
        <v>43250</v>
      </c>
      <c r="J24" s="5" t="str">
        <f>"000035"</f>
        <v>000035</v>
      </c>
      <c r="K24" s="4">
        <v>43250</v>
      </c>
      <c r="L24" s="5" t="str">
        <f>"000055"</f>
        <v>000055</v>
      </c>
      <c r="M24" s="4">
        <v>43250</v>
      </c>
      <c r="N24" s="5">
        <v>18</v>
      </c>
      <c r="O24" s="5" t="str">
        <f>"002669"</f>
        <v>002669</v>
      </c>
      <c r="P24" s="4">
        <v>43269</v>
      </c>
      <c r="Q24" s="7">
        <v>19.872199999999999</v>
      </c>
      <c r="R24" s="7">
        <v>1.8145</v>
      </c>
      <c r="S24" s="7">
        <v>18.057700000000001</v>
      </c>
      <c r="T24" s="5">
        <v>95</v>
      </c>
      <c r="U24" s="4">
        <v>43271</v>
      </c>
      <c r="V24" s="5">
        <v>123456789</v>
      </c>
      <c r="W24" s="6" t="s">
        <v>143</v>
      </c>
      <c r="X24" s="5" t="s">
        <v>40</v>
      </c>
      <c r="Y24" s="6" t="s">
        <v>41</v>
      </c>
      <c r="Z24" s="5" t="s">
        <v>67</v>
      </c>
      <c r="AA24" s="6" t="s">
        <v>66</v>
      </c>
      <c r="AB24" s="7">
        <v>0.19872199999999998</v>
      </c>
      <c r="AD24" s="8"/>
      <c r="AF24" s="8"/>
      <c r="AG24" s="8"/>
    </row>
    <row r="25" spans="1:33" x14ac:dyDescent="0.2">
      <c r="A25" s="12">
        <v>2395</v>
      </c>
      <c r="B25" s="13" t="s">
        <v>37</v>
      </c>
      <c r="C25" s="13">
        <v>43271</v>
      </c>
      <c r="D25" s="5">
        <v>23</v>
      </c>
      <c r="E25" s="6" t="s">
        <v>71</v>
      </c>
      <c r="F25" s="5" t="s">
        <v>149</v>
      </c>
      <c r="G25" s="6" t="s">
        <v>148</v>
      </c>
      <c r="H25" s="5" t="str">
        <f>"000028"</f>
        <v>000028</v>
      </c>
      <c r="I25" s="4">
        <v>43250</v>
      </c>
      <c r="J25" s="5" t="str">
        <f>"000034"</f>
        <v>000034</v>
      </c>
      <c r="K25" s="4">
        <v>43250</v>
      </c>
      <c r="L25" s="5" t="str">
        <f>"000054"</f>
        <v>000054</v>
      </c>
      <c r="M25" s="4">
        <v>43250</v>
      </c>
      <c r="N25" s="5">
        <v>18</v>
      </c>
      <c r="O25" s="5" t="str">
        <f>"002670"</f>
        <v>002670</v>
      </c>
      <c r="P25" s="4">
        <v>43269</v>
      </c>
      <c r="Q25" s="7">
        <v>17.82957</v>
      </c>
      <c r="R25" s="7">
        <v>1.611</v>
      </c>
      <c r="S25" s="7">
        <v>16.21857</v>
      </c>
      <c r="T25" s="5">
        <v>95</v>
      </c>
      <c r="U25" s="4">
        <v>43271</v>
      </c>
      <c r="V25" s="5">
        <v>123456789</v>
      </c>
      <c r="W25" s="6" t="s">
        <v>143</v>
      </c>
      <c r="X25" s="5" t="s">
        <v>40</v>
      </c>
      <c r="Y25" s="6" t="s">
        <v>41</v>
      </c>
      <c r="Z25" s="5" t="s">
        <v>67</v>
      </c>
      <c r="AA25" s="6" t="s">
        <v>66</v>
      </c>
      <c r="AB25" s="7">
        <v>0.1782957</v>
      </c>
      <c r="AD25" s="8"/>
      <c r="AF25" s="8"/>
      <c r="AG25" s="8"/>
    </row>
    <row r="26" spans="1:33" x14ac:dyDescent="0.2">
      <c r="A26" s="12">
        <v>2487</v>
      </c>
      <c r="B26" s="13" t="s">
        <v>37</v>
      </c>
      <c r="C26" s="13">
        <v>43274</v>
      </c>
      <c r="D26" s="5">
        <v>23</v>
      </c>
      <c r="E26" s="6" t="s">
        <v>71</v>
      </c>
      <c r="F26" s="5" t="s">
        <v>147</v>
      </c>
      <c r="G26" s="6" t="s">
        <v>146</v>
      </c>
      <c r="H26" s="5" t="str">
        <f>"0.0006"</f>
        <v>0.0006</v>
      </c>
      <c r="I26" s="4">
        <v>42422</v>
      </c>
      <c r="J26" s="5" t="str">
        <f>"000049"</f>
        <v>000049</v>
      </c>
      <c r="K26" s="4">
        <v>42650</v>
      </c>
      <c r="L26" s="5" t="str">
        <f>"000291"</f>
        <v>000291</v>
      </c>
      <c r="M26" s="4">
        <v>42671</v>
      </c>
      <c r="N26" s="5">
        <v>16</v>
      </c>
      <c r="O26" s="5" t="str">
        <f>"002803"</f>
        <v>002803</v>
      </c>
      <c r="P26" s="4">
        <v>43271</v>
      </c>
      <c r="Q26" s="7">
        <v>9.7822200000000006</v>
      </c>
      <c r="R26" s="7">
        <v>0.74670000000000003</v>
      </c>
      <c r="S26" s="7">
        <v>9.03552</v>
      </c>
      <c r="T26" s="5">
        <v>99</v>
      </c>
      <c r="U26" s="4">
        <v>43274</v>
      </c>
      <c r="V26" s="5">
        <v>8310763139</v>
      </c>
      <c r="W26" s="6" t="s">
        <v>90</v>
      </c>
      <c r="X26" s="5" t="s">
        <v>32</v>
      </c>
      <c r="Y26" s="6" t="s">
        <v>33</v>
      </c>
      <c r="Z26" s="5" t="s">
        <v>67</v>
      </c>
      <c r="AA26" s="6" t="s">
        <v>66</v>
      </c>
      <c r="AB26" s="7">
        <v>9.7822200000000012E-2</v>
      </c>
      <c r="AD26" s="8"/>
      <c r="AF26" s="8"/>
      <c r="AG26" s="8"/>
    </row>
    <row r="27" spans="1:33" x14ac:dyDescent="0.2">
      <c r="A27" s="12">
        <v>2786</v>
      </c>
      <c r="B27" s="13" t="s">
        <v>34</v>
      </c>
      <c r="C27" s="13">
        <v>43283</v>
      </c>
      <c r="D27" s="5">
        <v>23</v>
      </c>
      <c r="E27" s="6" t="s">
        <v>71</v>
      </c>
      <c r="F27" s="5" t="s">
        <v>145</v>
      </c>
      <c r="G27" s="6" t="s">
        <v>144</v>
      </c>
      <c r="H27" s="5" t="str">
        <f>"000029"</f>
        <v>000029</v>
      </c>
      <c r="I27" s="4">
        <v>43253</v>
      </c>
      <c r="J27" s="5" t="str">
        <f>"000036"</f>
        <v>000036</v>
      </c>
      <c r="K27" s="4">
        <v>43253</v>
      </c>
      <c r="L27" s="5" t="str">
        <f>"000056"</f>
        <v>000056</v>
      </c>
      <c r="M27" s="4">
        <v>43253</v>
      </c>
      <c r="N27" s="5">
        <v>18</v>
      </c>
      <c r="O27" s="5" t="str">
        <f>"002983"</f>
        <v>002983</v>
      </c>
      <c r="P27" s="4">
        <v>43276</v>
      </c>
      <c r="Q27" s="7">
        <v>49.800629999999998</v>
      </c>
      <c r="R27" s="7">
        <v>4.4859999999999998</v>
      </c>
      <c r="S27" s="7">
        <v>45.314630000000001</v>
      </c>
      <c r="T27" s="5">
        <v>104</v>
      </c>
      <c r="U27" s="4">
        <v>43283</v>
      </c>
      <c r="V27" s="5">
        <v>123456789</v>
      </c>
      <c r="W27" s="6" t="s">
        <v>143</v>
      </c>
      <c r="X27" s="5" t="s">
        <v>40</v>
      </c>
      <c r="Y27" s="6" t="s">
        <v>41</v>
      </c>
      <c r="Z27" s="5" t="s">
        <v>67</v>
      </c>
      <c r="AA27" s="6" t="s">
        <v>66</v>
      </c>
      <c r="AB27" s="7">
        <v>0.49800629999999996</v>
      </c>
      <c r="AD27" s="8"/>
      <c r="AF27" s="8"/>
      <c r="AG27" s="8"/>
    </row>
    <row r="28" spans="1:33" x14ac:dyDescent="0.2">
      <c r="A28" s="12">
        <v>2787</v>
      </c>
      <c r="B28" s="13" t="s">
        <v>34</v>
      </c>
      <c r="C28" s="13">
        <v>43283</v>
      </c>
      <c r="D28" s="5">
        <v>23</v>
      </c>
      <c r="E28" s="6" t="s">
        <v>71</v>
      </c>
      <c r="F28" s="5" t="s">
        <v>142</v>
      </c>
      <c r="G28" s="6" t="s">
        <v>141</v>
      </c>
      <c r="H28" s="5" t="str">
        <f>"000073"</f>
        <v>000073</v>
      </c>
      <c r="I28" s="4">
        <v>42586</v>
      </c>
      <c r="J28" s="5" t="str">
        <f>"06"</f>
        <v>06</v>
      </c>
      <c r="K28" s="4" t="s">
        <v>63</v>
      </c>
      <c r="L28" s="5" t="str">
        <f>"024"</f>
        <v>024</v>
      </c>
      <c r="M28" s="4">
        <v>17</v>
      </c>
      <c r="N28" s="5">
        <v>16</v>
      </c>
      <c r="O28" s="5" t="str">
        <f>"002959"</f>
        <v>002959</v>
      </c>
      <c r="P28" s="4">
        <v>43276</v>
      </c>
      <c r="Q28" s="7">
        <v>7.1327699999999998</v>
      </c>
      <c r="R28" s="7">
        <v>0.94279999999999997</v>
      </c>
      <c r="S28" s="7">
        <v>6.1899699999999998</v>
      </c>
      <c r="T28" s="5">
        <v>108</v>
      </c>
      <c r="U28" s="4">
        <v>43283</v>
      </c>
      <c r="V28" s="5">
        <v>8904148945</v>
      </c>
      <c r="W28" s="6" t="s">
        <v>140</v>
      </c>
      <c r="X28" s="5" t="s">
        <v>61</v>
      </c>
      <c r="Y28" s="6" t="s">
        <v>60</v>
      </c>
      <c r="Z28" s="5" t="s">
        <v>65</v>
      </c>
      <c r="AA28" s="6" t="s">
        <v>64</v>
      </c>
      <c r="AB28" s="7">
        <v>7.1327699999999994E-2</v>
      </c>
      <c r="AD28" s="8"/>
      <c r="AF28" s="8"/>
      <c r="AG28" s="8"/>
    </row>
    <row r="29" spans="1:33" x14ac:dyDescent="0.2">
      <c r="A29" s="12">
        <v>3141</v>
      </c>
      <c r="B29" s="13" t="s">
        <v>34</v>
      </c>
      <c r="C29" s="13">
        <v>43290</v>
      </c>
      <c r="D29" s="5">
        <v>23</v>
      </c>
      <c r="E29" s="6" t="s">
        <v>71</v>
      </c>
      <c r="F29" s="5" t="s">
        <v>139</v>
      </c>
      <c r="G29" s="6" t="s">
        <v>138</v>
      </c>
      <c r="H29" s="5" t="str">
        <f>"000132"</f>
        <v>000132</v>
      </c>
      <c r="I29" s="4">
        <v>42598</v>
      </c>
      <c r="J29" s="5" t="str">
        <f>"000084"</f>
        <v>000084</v>
      </c>
      <c r="K29" s="4">
        <v>42704</v>
      </c>
      <c r="L29" s="5" t="str">
        <f>"000339"</f>
        <v>000339</v>
      </c>
      <c r="M29" s="4">
        <v>42732</v>
      </c>
      <c r="N29" s="5">
        <v>16</v>
      </c>
      <c r="O29" s="5" t="str">
        <f>"003405"</f>
        <v>003405</v>
      </c>
      <c r="P29" s="4">
        <v>43288</v>
      </c>
      <c r="Q29" s="7">
        <v>8.7935099999999995</v>
      </c>
      <c r="R29" s="7">
        <v>0.68500000000000005</v>
      </c>
      <c r="S29" s="7">
        <v>8.1085100000000008</v>
      </c>
      <c r="T29" s="5">
        <v>117</v>
      </c>
      <c r="U29" s="4">
        <v>43290</v>
      </c>
      <c r="V29" s="5">
        <v>123456789</v>
      </c>
      <c r="W29" s="6" t="s">
        <v>68</v>
      </c>
      <c r="X29" s="5" t="s">
        <v>32</v>
      </c>
      <c r="Y29" s="6" t="s">
        <v>33</v>
      </c>
      <c r="Z29" s="5" t="s">
        <v>67</v>
      </c>
      <c r="AA29" s="6" t="s">
        <v>66</v>
      </c>
      <c r="AB29" s="7">
        <v>8.7935099999999988E-2</v>
      </c>
      <c r="AD29" s="8"/>
      <c r="AF29" s="8"/>
      <c r="AG29" s="8"/>
    </row>
    <row r="30" spans="1:33" x14ac:dyDescent="0.2">
      <c r="A30" s="12">
        <v>3142</v>
      </c>
      <c r="B30" s="13" t="s">
        <v>34</v>
      </c>
      <c r="C30" s="13">
        <v>43290</v>
      </c>
      <c r="D30" s="5">
        <v>23</v>
      </c>
      <c r="E30" s="6" t="s">
        <v>71</v>
      </c>
      <c r="F30" s="5" t="s">
        <v>137</v>
      </c>
      <c r="G30" s="6" t="s">
        <v>136</v>
      </c>
      <c r="H30" s="5" t="str">
        <f>"000134"</f>
        <v>000134</v>
      </c>
      <c r="I30" s="4">
        <v>42598</v>
      </c>
      <c r="J30" s="5" t="str">
        <f>"000086"</f>
        <v>000086</v>
      </c>
      <c r="K30" s="4">
        <v>42704</v>
      </c>
      <c r="L30" s="5" t="str">
        <f>"000342"</f>
        <v>000342</v>
      </c>
      <c r="M30" s="4">
        <v>42732</v>
      </c>
      <c r="N30" s="5">
        <v>16</v>
      </c>
      <c r="O30" s="5" t="str">
        <f>"003407"</f>
        <v>003407</v>
      </c>
      <c r="P30" s="4">
        <v>43288</v>
      </c>
      <c r="Q30" s="7">
        <v>4.6436900000000003</v>
      </c>
      <c r="R30" s="7">
        <v>0.3574</v>
      </c>
      <c r="S30" s="7">
        <v>4.2862900000000002</v>
      </c>
      <c r="T30" s="5">
        <v>117</v>
      </c>
      <c r="U30" s="4">
        <v>43290</v>
      </c>
      <c r="V30" s="5">
        <v>8861473497</v>
      </c>
      <c r="W30" s="6" t="s">
        <v>135</v>
      </c>
      <c r="X30" s="5" t="s">
        <v>32</v>
      </c>
      <c r="Y30" s="6" t="s">
        <v>33</v>
      </c>
      <c r="Z30" s="5" t="s">
        <v>67</v>
      </c>
      <c r="AA30" s="6" t="s">
        <v>66</v>
      </c>
      <c r="AB30" s="7">
        <v>4.6436900000000003E-2</v>
      </c>
      <c r="AD30" s="8"/>
      <c r="AF30" s="8"/>
      <c r="AG30" s="8"/>
    </row>
    <row r="31" spans="1:33" x14ac:dyDescent="0.2">
      <c r="A31" s="12">
        <v>3233</v>
      </c>
      <c r="B31" s="13" t="s">
        <v>34</v>
      </c>
      <c r="C31" s="13">
        <v>43293</v>
      </c>
      <c r="D31" s="5">
        <v>23</v>
      </c>
      <c r="E31" s="6" t="s">
        <v>71</v>
      </c>
      <c r="F31" s="5" t="s">
        <v>134</v>
      </c>
      <c r="G31" s="6" t="s">
        <v>133</v>
      </c>
      <c r="H31" s="5" t="str">
        <f>"000052"</f>
        <v>000052</v>
      </c>
      <c r="I31" s="4">
        <v>43281</v>
      </c>
      <c r="J31" s="5" t="str">
        <f>"000064"</f>
        <v>000064</v>
      </c>
      <c r="K31" s="4">
        <v>43281</v>
      </c>
      <c r="L31" s="5" t="str">
        <f>"000106"</f>
        <v>000106</v>
      </c>
      <c r="M31" s="4">
        <v>43281</v>
      </c>
      <c r="N31" s="5">
        <v>18</v>
      </c>
      <c r="O31" s="5" t="str">
        <f>"003564"</f>
        <v>003564</v>
      </c>
      <c r="P31" s="4">
        <v>43292</v>
      </c>
      <c r="Q31" s="7">
        <v>24.91235</v>
      </c>
      <c r="R31" s="7">
        <v>2.2149999999999999</v>
      </c>
      <c r="S31" s="7">
        <v>22.69735</v>
      </c>
      <c r="T31" s="5">
        <v>122</v>
      </c>
      <c r="U31" s="4">
        <v>43293</v>
      </c>
      <c r="V31" s="5">
        <v>123456789</v>
      </c>
      <c r="W31" s="6" t="s">
        <v>132</v>
      </c>
      <c r="X31" s="5" t="s">
        <v>40</v>
      </c>
      <c r="Y31" s="6" t="s">
        <v>41</v>
      </c>
      <c r="Z31" s="5" t="s">
        <v>67</v>
      </c>
      <c r="AA31" s="6" t="s">
        <v>66</v>
      </c>
      <c r="AB31" s="7">
        <v>0.2491235</v>
      </c>
      <c r="AD31" s="8"/>
      <c r="AF31" s="8"/>
      <c r="AG31" s="8"/>
    </row>
    <row r="32" spans="1:33" x14ac:dyDescent="0.2">
      <c r="A32" s="12">
        <v>3425</v>
      </c>
      <c r="B32" s="13" t="s">
        <v>34</v>
      </c>
      <c r="C32" s="13">
        <v>43299</v>
      </c>
      <c r="D32" s="5">
        <v>23</v>
      </c>
      <c r="E32" s="6" t="s">
        <v>71</v>
      </c>
      <c r="F32" s="5" t="s">
        <v>131</v>
      </c>
      <c r="G32" s="6" t="s">
        <v>130</v>
      </c>
      <c r="H32" s="5" t="str">
        <f>"000064"</f>
        <v>000064</v>
      </c>
      <c r="I32" s="4">
        <v>42244</v>
      </c>
      <c r="J32" s="5" t="str">
        <f>"000018"</f>
        <v>000018</v>
      </c>
      <c r="K32" s="4">
        <v>42527</v>
      </c>
      <c r="L32" s="5" t="str">
        <f>"000042"</f>
        <v>000042</v>
      </c>
      <c r="M32" s="4">
        <v>42531</v>
      </c>
      <c r="N32" s="5">
        <v>12</v>
      </c>
      <c r="O32" s="5" t="str">
        <f>"008110"</f>
        <v>008110</v>
      </c>
      <c r="P32" s="4">
        <v>42801</v>
      </c>
      <c r="Q32" s="7">
        <v>1.7780400000000001</v>
      </c>
      <c r="R32" s="7">
        <v>0.2165</v>
      </c>
      <c r="S32" s="7">
        <v>1.5615399999999999</v>
      </c>
      <c r="T32" s="5">
        <v>127</v>
      </c>
      <c r="U32" s="4">
        <v>43299</v>
      </c>
      <c r="V32" s="5">
        <v>9901801661</v>
      </c>
      <c r="W32" s="6" t="s">
        <v>129</v>
      </c>
      <c r="X32" s="5" t="s">
        <v>35</v>
      </c>
      <c r="Y32" s="6" t="s">
        <v>36</v>
      </c>
      <c r="Z32" s="5" t="s">
        <v>65</v>
      </c>
      <c r="AA32" s="6" t="s">
        <v>64</v>
      </c>
      <c r="AB32" s="7">
        <v>1.7780400000000002E-2</v>
      </c>
      <c r="AD32" s="8"/>
      <c r="AF32" s="8"/>
      <c r="AG32" s="8"/>
    </row>
    <row r="33" spans="1:33" x14ac:dyDescent="0.2">
      <c r="A33" s="12">
        <v>3426</v>
      </c>
      <c r="B33" s="13" t="s">
        <v>34</v>
      </c>
      <c r="C33" s="13">
        <v>43299</v>
      </c>
      <c r="D33" s="5">
        <v>23</v>
      </c>
      <c r="E33" s="6" t="s">
        <v>71</v>
      </c>
      <c r="F33" s="5" t="s">
        <v>128</v>
      </c>
      <c r="G33" s="6" t="s">
        <v>127</v>
      </c>
      <c r="H33" s="5" t="str">
        <f>"000030"</f>
        <v>000030</v>
      </c>
      <c r="I33" s="4">
        <v>43038</v>
      </c>
      <c r="J33" s="5" t="str">
        <f>"000204"</f>
        <v>000204</v>
      </c>
      <c r="K33" s="4">
        <v>43166</v>
      </c>
      <c r="L33" s="5" t="str">
        <f>"000193"</f>
        <v>000193</v>
      </c>
      <c r="M33" s="4">
        <v>43166</v>
      </c>
      <c r="N33" s="5">
        <v>16</v>
      </c>
      <c r="O33" s="5" t="str">
        <f>"003963"</f>
        <v>003963</v>
      </c>
      <c r="P33" s="4">
        <v>43299</v>
      </c>
      <c r="Q33" s="7">
        <v>4.9318600000000004</v>
      </c>
      <c r="R33" s="7">
        <v>0.41077000000000002</v>
      </c>
      <c r="S33" s="7">
        <v>4.5210900000000001</v>
      </c>
      <c r="T33" s="5">
        <v>127</v>
      </c>
      <c r="U33" s="4">
        <v>43299</v>
      </c>
      <c r="V33" s="5">
        <v>9901801661</v>
      </c>
      <c r="W33" s="6" t="s">
        <v>126</v>
      </c>
      <c r="X33" s="5" t="s">
        <v>35</v>
      </c>
      <c r="Y33" s="6" t="s">
        <v>36</v>
      </c>
      <c r="Z33" s="5" t="s">
        <v>65</v>
      </c>
      <c r="AA33" s="6" t="s">
        <v>64</v>
      </c>
      <c r="AB33" s="7">
        <v>4.9318600000000004E-2</v>
      </c>
      <c r="AD33" s="8"/>
      <c r="AF33" s="8"/>
      <c r="AG33" s="8"/>
    </row>
    <row r="34" spans="1:33" x14ac:dyDescent="0.2">
      <c r="A34" s="12">
        <v>3427</v>
      </c>
      <c r="B34" s="13" t="s">
        <v>34</v>
      </c>
      <c r="C34" s="13">
        <v>43299</v>
      </c>
      <c r="D34" s="5">
        <v>23</v>
      </c>
      <c r="E34" s="6" t="s">
        <v>71</v>
      </c>
      <c r="F34" s="5" t="s">
        <v>128</v>
      </c>
      <c r="G34" s="6" t="s">
        <v>127</v>
      </c>
      <c r="H34" s="5" t="str">
        <f>"000030"</f>
        <v>000030</v>
      </c>
      <c r="I34" s="4">
        <v>43038</v>
      </c>
      <c r="J34" s="5" t="str">
        <f>"000204"</f>
        <v>000204</v>
      </c>
      <c r="K34" s="4">
        <v>43166</v>
      </c>
      <c r="L34" s="5" t="str">
        <f>"000193"</f>
        <v>000193</v>
      </c>
      <c r="M34" s="4">
        <v>43166</v>
      </c>
      <c r="N34" s="5">
        <v>16</v>
      </c>
      <c r="O34" s="5" t="str">
        <f>"003963"</f>
        <v>003963</v>
      </c>
      <c r="P34" s="4">
        <v>43299</v>
      </c>
      <c r="Q34" s="7">
        <v>2.4141400000000002</v>
      </c>
      <c r="R34" s="7">
        <v>0.17799999999999999</v>
      </c>
      <c r="S34" s="7">
        <v>2.2361399999999998</v>
      </c>
      <c r="T34" s="5">
        <v>127</v>
      </c>
      <c r="U34" s="4">
        <v>43299</v>
      </c>
      <c r="V34" s="5">
        <v>9901801661</v>
      </c>
      <c r="W34" s="6" t="s">
        <v>126</v>
      </c>
      <c r="X34" s="5" t="s">
        <v>35</v>
      </c>
      <c r="Y34" s="6" t="s">
        <v>36</v>
      </c>
      <c r="Z34" s="5" t="s">
        <v>65</v>
      </c>
      <c r="AA34" s="6" t="s">
        <v>64</v>
      </c>
      <c r="AB34" s="7">
        <v>2.41414E-2</v>
      </c>
      <c r="AD34" s="8"/>
      <c r="AF34" s="8"/>
      <c r="AG34" s="8"/>
    </row>
    <row r="35" spans="1:33" x14ac:dyDescent="0.2">
      <c r="A35" s="12">
        <v>3428</v>
      </c>
      <c r="B35" s="13" t="s">
        <v>34</v>
      </c>
      <c r="C35" s="13">
        <v>43299</v>
      </c>
      <c r="D35" s="5">
        <v>23</v>
      </c>
      <c r="E35" s="6" t="s">
        <v>71</v>
      </c>
      <c r="F35" s="5" t="s">
        <v>128</v>
      </c>
      <c r="G35" s="6" t="s">
        <v>127</v>
      </c>
      <c r="H35" s="5" t="str">
        <f>"000030"</f>
        <v>000030</v>
      </c>
      <c r="I35" s="4">
        <v>43038</v>
      </c>
      <c r="J35" s="5" t="str">
        <f>"000204"</f>
        <v>000204</v>
      </c>
      <c r="K35" s="4">
        <v>43166</v>
      </c>
      <c r="L35" s="5" t="str">
        <f>"000193"</f>
        <v>000193</v>
      </c>
      <c r="M35" s="4">
        <v>43166</v>
      </c>
      <c r="N35" s="5">
        <v>16</v>
      </c>
      <c r="O35" s="5" t="str">
        <f>"003963"</f>
        <v>003963</v>
      </c>
      <c r="P35" s="4">
        <v>43299</v>
      </c>
      <c r="Q35" s="7">
        <v>0.79352999999999996</v>
      </c>
      <c r="R35" s="7">
        <v>5.7000000000000002E-2</v>
      </c>
      <c r="S35" s="7">
        <v>0.73653000000000002</v>
      </c>
      <c r="T35" s="5">
        <v>127</v>
      </c>
      <c r="U35" s="4">
        <v>43299</v>
      </c>
      <c r="V35" s="5">
        <v>9901801661</v>
      </c>
      <c r="W35" s="6" t="s">
        <v>126</v>
      </c>
      <c r="X35" s="5" t="s">
        <v>35</v>
      </c>
      <c r="Y35" s="6" t="s">
        <v>36</v>
      </c>
      <c r="Z35" s="5" t="s">
        <v>65</v>
      </c>
      <c r="AA35" s="6" t="s">
        <v>64</v>
      </c>
      <c r="AB35" s="7">
        <v>7.9352999999999993E-3</v>
      </c>
      <c r="AD35" s="8"/>
      <c r="AF35" s="8"/>
      <c r="AG35" s="8"/>
    </row>
    <row r="36" spans="1:33" x14ac:dyDescent="0.2">
      <c r="A36" s="12">
        <v>3697</v>
      </c>
      <c r="B36" s="13" t="s">
        <v>34</v>
      </c>
      <c r="C36" s="13">
        <v>43301</v>
      </c>
      <c r="D36" s="5">
        <v>23</v>
      </c>
      <c r="E36" s="6" t="s">
        <v>71</v>
      </c>
      <c r="F36" s="5" t="s">
        <v>128</v>
      </c>
      <c r="G36" s="6" t="s">
        <v>127</v>
      </c>
      <c r="H36" s="5" t="str">
        <f>"000030"</f>
        <v>000030</v>
      </c>
      <c r="I36" s="4">
        <v>43038</v>
      </c>
      <c r="J36" s="5" t="str">
        <f>"000204"</f>
        <v>000204</v>
      </c>
      <c r="K36" s="4">
        <v>43166</v>
      </c>
      <c r="L36" s="5" t="str">
        <f>"000193"</f>
        <v>000193</v>
      </c>
      <c r="M36" s="4">
        <v>43166</v>
      </c>
      <c r="N36" s="5">
        <v>16</v>
      </c>
      <c r="O36" s="5" t="str">
        <f>"003963"</f>
        <v>003963</v>
      </c>
      <c r="P36" s="4">
        <v>43299</v>
      </c>
      <c r="Q36" s="7">
        <v>0.82196999999999998</v>
      </c>
      <c r="R36" s="7">
        <v>7.2669999999999998E-2</v>
      </c>
      <c r="S36" s="7">
        <v>0.74929999999999997</v>
      </c>
      <c r="T36" s="5">
        <v>134</v>
      </c>
      <c r="U36" s="4">
        <v>43301</v>
      </c>
      <c r="V36" s="5">
        <v>9901801661</v>
      </c>
      <c r="W36" s="6" t="s">
        <v>126</v>
      </c>
      <c r="X36" s="5" t="s">
        <v>35</v>
      </c>
      <c r="Y36" s="6" t="s">
        <v>36</v>
      </c>
      <c r="Z36" s="5" t="s">
        <v>65</v>
      </c>
      <c r="AA36" s="6" t="s">
        <v>64</v>
      </c>
      <c r="AB36" s="7">
        <v>8.2196999999999999E-3</v>
      </c>
      <c r="AD36" s="8"/>
      <c r="AF36" s="8"/>
      <c r="AG36" s="8"/>
    </row>
    <row r="37" spans="1:33" x14ac:dyDescent="0.2">
      <c r="A37" s="12">
        <v>3698</v>
      </c>
      <c r="B37" s="13" t="s">
        <v>34</v>
      </c>
      <c r="C37" s="13">
        <v>43301</v>
      </c>
      <c r="D37" s="5">
        <v>23</v>
      </c>
      <c r="E37" s="6" t="s">
        <v>71</v>
      </c>
      <c r="F37" s="5" t="s">
        <v>128</v>
      </c>
      <c r="G37" s="6" t="s">
        <v>127</v>
      </c>
      <c r="H37" s="5" t="str">
        <f>"000030"</f>
        <v>000030</v>
      </c>
      <c r="I37" s="4">
        <v>43038</v>
      </c>
      <c r="J37" s="5" t="str">
        <f>"000204"</f>
        <v>000204</v>
      </c>
      <c r="K37" s="4">
        <v>43166</v>
      </c>
      <c r="L37" s="5" t="str">
        <f>"000193"</f>
        <v>000193</v>
      </c>
      <c r="M37" s="4">
        <v>43166</v>
      </c>
      <c r="N37" s="5">
        <v>16</v>
      </c>
      <c r="O37" s="5" t="str">
        <f>"003963"</f>
        <v>003963</v>
      </c>
      <c r="P37" s="4">
        <v>43299</v>
      </c>
      <c r="Q37" s="7">
        <v>0.82196999999999998</v>
      </c>
      <c r="R37" s="7">
        <v>7.5329999999999994E-2</v>
      </c>
      <c r="S37" s="7">
        <v>0.74663999999999997</v>
      </c>
      <c r="T37" s="5">
        <v>134</v>
      </c>
      <c r="U37" s="4">
        <v>43301</v>
      </c>
      <c r="V37" s="5">
        <v>9901801661</v>
      </c>
      <c r="W37" s="6" t="s">
        <v>126</v>
      </c>
      <c r="X37" s="5" t="s">
        <v>35</v>
      </c>
      <c r="Y37" s="6" t="s">
        <v>36</v>
      </c>
      <c r="Z37" s="5" t="s">
        <v>65</v>
      </c>
      <c r="AA37" s="6" t="s">
        <v>64</v>
      </c>
      <c r="AB37" s="7">
        <v>8.2196999999999999E-3</v>
      </c>
      <c r="AD37" s="8"/>
      <c r="AF37" s="8"/>
      <c r="AG37" s="8"/>
    </row>
    <row r="38" spans="1:33" x14ac:dyDescent="0.2">
      <c r="A38" s="12">
        <v>3897</v>
      </c>
      <c r="B38" s="13" t="s">
        <v>34</v>
      </c>
      <c r="C38" s="13">
        <v>43305</v>
      </c>
      <c r="D38" s="5">
        <v>23</v>
      </c>
      <c r="E38" s="6" t="s">
        <v>71</v>
      </c>
      <c r="F38" s="5" t="s">
        <v>125</v>
      </c>
      <c r="G38" s="6" t="s">
        <v>124</v>
      </c>
      <c r="H38" s="5" t="str">
        <f>"0.0141"</f>
        <v>0.0141</v>
      </c>
      <c r="I38" s="4">
        <v>42605</v>
      </c>
      <c r="J38" s="5" t="str">
        <f>"000081"</f>
        <v>000081</v>
      </c>
      <c r="K38" s="4">
        <v>42704</v>
      </c>
      <c r="L38" s="5" t="str">
        <f>"000367"</f>
        <v>000367</v>
      </c>
      <c r="M38" s="4">
        <v>42760</v>
      </c>
      <c r="N38" s="5">
        <v>16</v>
      </c>
      <c r="O38" s="5" t="str">
        <f>"004089"</f>
        <v>004089</v>
      </c>
      <c r="P38" s="4">
        <v>43301</v>
      </c>
      <c r="Q38" s="7">
        <v>4.6100000000000003</v>
      </c>
      <c r="R38" s="7">
        <v>0.45240000000000002</v>
      </c>
      <c r="S38" s="7">
        <v>4.1576000000000004</v>
      </c>
      <c r="T38" s="5">
        <v>139</v>
      </c>
      <c r="U38" s="4">
        <v>43305</v>
      </c>
      <c r="V38" s="5">
        <v>123456789</v>
      </c>
      <c r="W38" s="6" t="s">
        <v>123</v>
      </c>
      <c r="X38" s="5" t="s">
        <v>32</v>
      </c>
      <c r="Y38" s="6" t="s">
        <v>33</v>
      </c>
      <c r="Z38" s="5" t="s">
        <v>67</v>
      </c>
      <c r="AA38" s="6" t="s">
        <v>66</v>
      </c>
      <c r="AB38" s="7">
        <v>4.6100000000000002E-2</v>
      </c>
      <c r="AD38" s="8"/>
      <c r="AF38" s="8"/>
      <c r="AG38" s="8"/>
    </row>
    <row r="39" spans="1:33" x14ac:dyDescent="0.2">
      <c r="A39" s="12">
        <v>4384</v>
      </c>
      <c r="B39" s="13" t="s">
        <v>31</v>
      </c>
      <c r="C39" s="13">
        <v>43318</v>
      </c>
      <c r="D39" s="5">
        <v>23</v>
      </c>
      <c r="E39" s="6" t="s">
        <v>71</v>
      </c>
      <c r="F39" s="5" t="s">
        <v>122</v>
      </c>
      <c r="G39" s="6" t="s">
        <v>121</v>
      </c>
      <c r="H39" s="5" t="str">
        <f>"000007"</f>
        <v>000007</v>
      </c>
      <c r="I39" s="4">
        <v>42937</v>
      </c>
      <c r="J39" s="5" t="str">
        <f>"000002"</f>
        <v>000002</v>
      </c>
      <c r="K39" s="4">
        <v>42937</v>
      </c>
      <c r="L39" s="5" t="str">
        <f>"000048"</f>
        <v>000048</v>
      </c>
      <c r="M39" s="4">
        <v>42941</v>
      </c>
      <c r="N39" s="5">
        <v>17</v>
      </c>
      <c r="O39" s="5" t="str">
        <f>"004741"</f>
        <v>004741</v>
      </c>
      <c r="P39" s="4">
        <v>43314</v>
      </c>
      <c r="Q39" s="7">
        <v>9.3904200000000007</v>
      </c>
      <c r="R39" s="7">
        <v>0.69799999999999995</v>
      </c>
      <c r="S39" s="7">
        <v>8.6924200000000003</v>
      </c>
      <c r="T39" s="5">
        <v>160</v>
      </c>
      <c r="U39" s="4">
        <v>43318</v>
      </c>
      <c r="V39" s="5">
        <v>123456789</v>
      </c>
      <c r="W39" s="6" t="s">
        <v>120</v>
      </c>
      <c r="X39" s="5" t="s">
        <v>32</v>
      </c>
      <c r="Y39" s="6" t="s">
        <v>33</v>
      </c>
      <c r="Z39" s="5" t="s">
        <v>67</v>
      </c>
      <c r="AA39" s="6" t="s">
        <v>66</v>
      </c>
      <c r="AB39" s="7">
        <v>9.3904200000000007E-2</v>
      </c>
      <c r="AD39" s="8"/>
      <c r="AF39" s="8"/>
      <c r="AG39" s="8"/>
    </row>
    <row r="40" spans="1:33" x14ac:dyDescent="0.2">
      <c r="A40" s="12">
        <v>4385</v>
      </c>
      <c r="B40" s="13" t="s">
        <v>31</v>
      </c>
      <c r="C40" s="13">
        <v>43318</v>
      </c>
      <c r="D40" s="5">
        <v>23</v>
      </c>
      <c r="E40" s="6" t="s">
        <v>71</v>
      </c>
      <c r="F40" s="5" t="s">
        <v>119</v>
      </c>
      <c r="G40" s="6" t="s">
        <v>118</v>
      </c>
      <c r="H40" s="5" t="str">
        <f>"000008"</f>
        <v>000008</v>
      </c>
      <c r="I40" s="4">
        <v>42937</v>
      </c>
      <c r="J40" s="5" t="str">
        <f>"000003"</f>
        <v>000003</v>
      </c>
      <c r="K40" s="4">
        <v>42937</v>
      </c>
      <c r="L40" s="5" t="str">
        <f>"000049"</f>
        <v>000049</v>
      </c>
      <c r="M40" s="4">
        <v>42941</v>
      </c>
      <c r="N40" s="5">
        <v>17</v>
      </c>
      <c r="O40" s="5" t="str">
        <f>"004742"</f>
        <v>004742</v>
      </c>
      <c r="P40" s="4">
        <v>43314</v>
      </c>
      <c r="Q40" s="7">
        <v>9.4319000000000006</v>
      </c>
      <c r="R40" s="7">
        <v>0.71840000000000004</v>
      </c>
      <c r="S40" s="7">
        <v>8.7134999999999998</v>
      </c>
      <c r="T40" s="5">
        <v>160</v>
      </c>
      <c r="U40" s="4">
        <v>43318</v>
      </c>
      <c r="V40" s="5">
        <v>123456789</v>
      </c>
      <c r="W40" s="6" t="s">
        <v>117</v>
      </c>
      <c r="X40" s="5" t="s">
        <v>32</v>
      </c>
      <c r="Y40" s="6" t="s">
        <v>33</v>
      </c>
      <c r="Z40" s="5" t="s">
        <v>67</v>
      </c>
      <c r="AA40" s="6" t="s">
        <v>66</v>
      </c>
      <c r="AB40" s="7">
        <v>9.4319E-2</v>
      </c>
      <c r="AD40" s="8"/>
      <c r="AF40" s="8"/>
      <c r="AG40" s="8"/>
    </row>
    <row r="41" spans="1:33" x14ac:dyDescent="0.2">
      <c r="A41" s="12">
        <v>4943</v>
      </c>
      <c r="B41" s="13" t="s">
        <v>31</v>
      </c>
      <c r="C41" s="13">
        <v>43330</v>
      </c>
      <c r="D41" s="5">
        <v>23</v>
      </c>
      <c r="E41" s="6" t="s">
        <v>71</v>
      </c>
      <c r="F41" s="5" t="s">
        <v>116</v>
      </c>
      <c r="G41" s="6" t="s">
        <v>115</v>
      </c>
      <c r="H41" s="5" t="str">
        <f>"000130"</f>
        <v>000130</v>
      </c>
      <c r="I41" s="4">
        <v>43023</v>
      </c>
      <c r="J41" s="5" t="str">
        <f>"000078"</f>
        <v>000078</v>
      </c>
      <c r="K41" s="4">
        <v>43308</v>
      </c>
      <c r="L41" s="5" t="str">
        <f>"000133"</f>
        <v>000133</v>
      </c>
      <c r="M41" s="4">
        <v>43308</v>
      </c>
      <c r="N41" s="5">
        <v>17</v>
      </c>
      <c r="O41" s="5" t="str">
        <f>"005105"</f>
        <v>005105</v>
      </c>
      <c r="P41" s="4">
        <v>43325</v>
      </c>
      <c r="Q41" s="7">
        <v>1.29278</v>
      </c>
      <c r="R41" s="7">
        <v>3.73E-2</v>
      </c>
      <c r="S41" s="7">
        <v>1.2554799999999999</v>
      </c>
      <c r="T41" s="5">
        <v>173</v>
      </c>
      <c r="U41" s="4">
        <v>43330</v>
      </c>
      <c r="V41" s="5">
        <v>123456789</v>
      </c>
      <c r="W41" s="6" t="s">
        <v>114</v>
      </c>
      <c r="X41" s="5" t="s">
        <v>44</v>
      </c>
      <c r="Y41" s="6" t="s">
        <v>45</v>
      </c>
      <c r="Z41" s="5" t="s">
        <v>67</v>
      </c>
      <c r="AA41" s="6" t="s">
        <v>66</v>
      </c>
      <c r="AB41" s="7">
        <v>1.29278E-2</v>
      </c>
      <c r="AD41" s="8"/>
      <c r="AF41" s="8"/>
      <c r="AG41" s="8"/>
    </row>
    <row r="42" spans="1:33" x14ac:dyDescent="0.2">
      <c r="A42" s="12">
        <v>4944</v>
      </c>
      <c r="B42" s="13" t="s">
        <v>31</v>
      </c>
      <c r="C42" s="13">
        <v>43330</v>
      </c>
      <c r="D42" s="5">
        <v>23</v>
      </c>
      <c r="E42" s="6" t="s">
        <v>71</v>
      </c>
      <c r="F42" s="5" t="s">
        <v>113</v>
      </c>
      <c r="G42" s="6" t="s">
        <v>112</v>
      </c>
      <c r="H42" s="5" t="str">
        <f>"000097"</f>
        <v>000097</v>
      </c>
      <c r="I42" s="4">
        <v>42570</v>
      </c>
      <c r="J42" s="5" t="str">
        <f>"000127"</f>
        <v>000127</v>
      </c>
      <c r="K42" s="4">
        <v>42794</v>
      </c>
      <c r="L42" s="5" t="str">
        <f>"000529"</f>
        <v>000529</v>
      </c>
      <c r="M42" s="4">
        <v>42825</v>
      </c>
      <c r="N42" s="5">
        <v>16</v>
      </c>
      <c r="O42" s="5" t="str">
        <f>"005195"</f>
        <v>005195</v>
      </c>
      <c r="P42" s="4">
        <v>43326</v>
      </c>
      <c r="Q42" s="7">
        <v>0.91449000000000003</v>
      </c>
      <c r="R42" s="7">
        <v>4.5240000000000002E-2</v>
      </c>
      <c r="S42" s="7">
        <v>0.86924999999999997</v>
      </c>
      <c r="T42" s="5">
        <v>174</v>
      </c>
      <c r="U42" s="4">
        <v>43330</v>
      </c>
      <c r="V42" s="5">
        <v>7892168416</v>
      </c>
      <c r="W42" s="6" t="s">
        <v>98</v>
      </c>
      <c r="X42" s="5" t="s">
        <v>32</v>
      </c>
      <c r="Y42" s="6" t="s">
        <v>33</v>
      </c>
      <c r="Z42" s="5" t="s">
        <v>67</v>
      </c>
      <c r="AA42" s="6" t="s">
        <v>66</v>
      </c>
      <c r="AB42" s="7">
        <v>9.1449000000000009E-3</v>
      </c>
      <c r="AD42" s="8"/>
      <c r="AF42" s="8"/>
      <c r="AG42" s="8"/>
    </row>
    <row r="43" spans="1:33" x14ac:dyDescent="0.2">
      <c r="A43" s="12">
        <v>4945</v>
      </c>
      <c r="B43" s="13" t="s">
        <v>31</v>
      </c>
      <c r="C43" s="13">
        <v>43330</v>
      </c>
      <c r="D43" s="5">
        <v>23</v>
      </c>
      <c r="E43" s="6" t="s">
        <v>71</v>
      </c>
      <c r="F43" s="5" t="s">
        <v>111</v>
      </c>
      <c r="G43" s="6" t="s">
        <v>110</v>
      </c>
      <c r="H43" s="5" t="str">
        <f>"000103"</f>
        <v>000103</v>
      </c>
      <c r="I43" s="4">
        <v>42570</v>
      </c>
      <c r="J43" s="5" t="str">
        <f>"000122"</f>
        <v>000122</v>
      </c>
      <c r="K43" s="4">
        <v>42794</v>
      </c>
      <c r="L43" s="5" t="str">
        <f>"000530"</f>
        <v>000530</v>
      </c>
      <c r="M43" s="4">
        <v>42825</v>
      </c>
      <c r="N43" s="5">
        <v>16</v>
      </c>
      <c r="O43" s="5" t="str">
        <f>"005196"</f>
        <v>005196</v>
      </c>
      <c r="P43" s="4">
        <v>43326</v>
      </c>
      <c r="Q43" s="7">
        <v>1.901</v>
      </c>
      <c r="R43" s="7">
        <v>0.14996000000000001</v>
      </c>
      <c r="S43" s="7">
        <v>1.7510399999999999</v>
      </c>
      <c r="T43" s="5">
        <v>174</v>
      </c>
      <c r="U43" s="4">
        <v>43330</v>
      </c>
      <c r="V43" s="5">
        <v>7892168416</v>
      </c>
      <c r="W43" s="6" t="s">
        <v>98</v>
      </c>
      <c r="X43" s="5" t="s">
        <v>32</v>
      </c>
      <c r="Y43" s="6" t="s">
        <v>33</v>
      </c>
      <c r="Z43" s="5" t="s">
        <v>67</v>
      </c>
      <c r="AA43" s="6" t="s">
        <v>66</v>
      </c>
      <c r="AB43" s="7">
        <v>1.9009999999999999E-2</v>
      </c>
      <c r="AD43" s="8"/>
      <c r="AF43" s="8"/>
      <c r="AG43" s="8"/>
    </row>
    <row r="44" spans="1:33" x14ac:dyDescent="0.2">
      <c r="A44" s="12">
        <v>4946</v>
      </c>
      <c r="B44" s="13" t="s">
        <v>31</v>
      </c>
      <c r="C44" s="13">
        <v>43330</v>
      </c>
      <c r="D44" s="5">
        <v>23</v>
      </c>
      <c r="E44" s="6" t="s">
        <v>71</v>
      </c>
      <c r="F44" s="5" t="s">
        <v>109</v>
      </c>
      <c r="G44" s="6" t="s">
        <v>108</v>
      </c>
      <c r="H44" s="5" t="str">
        <f>"000100"</f>
        <v>000100</v>
      </c>
      <c r="I44" s="4">
        <v>42570</v>
      </c>
      <c r="J44" s="5" t="str">
        <f>"000128"</f>
        <v>000128</v>
      </c>
      <c r="K44" s="4">
        <v>42794</v>
      </c>
      <c r="L44" s="5" t="str">
        <f>"000532"</f>
        <v>000532</v>
      </c>
      <c r="M44" s="4">
        <v>42825</v>
      </c>
      <c r="N44" s="5">
        <v>16</v>
      </c>
      <c r="O44" s="5" t="str">
        <f>"005197"</f>
        <v>005197</v>
      </c>
      <c r="P44" s="4">
        <v>43326</v>
      </c>
      <c r="Q44" s="7">
        <v>5.83</v>
      </c>
      <c r="R44" s="7">
        <v>0.44540000000000002</v>
      </c>
      <c r="S44" s="7">
        <v>5.3845999999999998</v>
      </c>
      <c r="T44" s="5">
        <v>174</v>
      </c>
      <c r="U44" s="4">
        <v>43330</v>
      </c>
      <c r="V44" s="5">
        <v>9743053015</v>
      </c>
      <c r="W44" s="6" t="s">
        <v>103</v>
      </c>
      <c r="X44" s="5" t="s">
        <v>32</v>
      </c>
      <c r="Y44" s="6" t="s">
        <v>33</v>
      </c>
      <c r="Z44" s="5" t="s">
        <v>67</v>
      </c>
      <c r="AA44" s="6" t="s">
        <v>66</v>
      </c>
      <c r="AB44" s="7">
        <v>5.8299999999999998E-2</v>
      </c>
      <c r="AD44" s="8"/>
      <c r="AF44" s="8"/>
      <c r="AG44" s="8"/>
    </row>
    <row r="45" spans="1:33" x14ac:dyDescent="0.2">
      <c r="A45" s="12">
        <v>4947</v>
      </c>
      <c r="B45" s="13" t="s">
        <v>31</v>
      </c>
      <c r="C45" s="13">
        <v>43330</v>
      </c>
      <c r="D45" s="5">
        <v>23</v>
      </c>
      <c r="E45" s="6" t="s">
        <v>71</v>
      </c>
      <c r="F45" s="5" t="s">
        <v>107</v>
      </c>
      <c r="G45" s="6" t="s">
        <v>106</v>
      </c>
      <c r="H45" s="5" t="str">
        <f>"000099"</f>
        <v>000099</v>
      </c>
      <c r="I45" s="4">
        <v>42570</v>
      </c>
      <c r="J45" s="5" t="str">
        <f>"000126"</f>
        <v>000126</v>
      </c>
      <c r="K45" s="4">
        <v>42794</v>
      </c>
      <c r="L45" s="5" t="str">
        <f>"000533"</f>
        <v>000533</v>
      </c>
      <c r="M45" s="4">
        <v>42825</v>
      </c>
      <c r="N45" s="5">
        <v>16</v>
      </c>
      <c r="O45" s="5" t="str">
        <f>"005198"</f>
        <v>005198</v>
      </c>
      <c r="P45" s="4">
        <v>43326</v>
      </c>
      <c r="Q45" s="7">
        <v>1.9039999999999999</v>
      </c>
      <c r="R45" s="7">
        <v>0.1482</v>
      </c>
      <c r="S45" s="7">
        <v>1.7558</v>
      </c>
      <c r="T45" s="5">
        <v>174</v>
      </c>
      <c r="U45" s="4">
        <v>43330</v>
      </c>
      <c r="V45" s="5">
        <v>7892168416</v>
      </c>
      <c r="W45" s="6" t="s">
        <v>98</v>
      </c>
      <c r="X45" s="5" t="s">
        <v>32</v>
      </c>
      <c r="Y45" s="6" t="s">
        <v>33</v>
      </c>
      <c r="Z45" s="5" t="s">
        <v>67</v>
      </c>
      <c r="AA45" s="6" t="s">
        <v>66</v>
      </c>
      <c r="AB45" s="7">
        <v>1.9039999999999998E-2</v>
      </c>
      <c r="AD45" s="8"/>
      <c r="AF45" s="8"/>
      <c r="AG45" s="8"/>
    </row>
    <row r="46" spans="1:33" x14ac:dyDescent="0.2">
      <c r="A46" s="12">
        <v>4948</v>
      </c>
      <c r="B46" s="13" t="s">
        <v>31</v>
      </c>
      <c r="C46" s="13">
        <v>43330</v>
      </c>
      <c r="D46" s="5">
        <v>23</v>
      </c>
      <c r="E46" s="6" t="s">
        <v>71</v>
      </c>
      <c r="F46" s="5" t="s">
        <v>105</v>
      </c>
      <c r="G46" s="6" t="s">
        <v>104</v>
      </c>
      <c r="H46" s="5" t="str">
        <f>"000102"</f>
        <v>000102</v>
      </c>
      <c r="I46" s="4">
        <v>42570</v>
      </c>
      <c r="J46" s="5" t="str">
        <f>"000125"</f>
        <v>000125</v>
      </c>
      <c r="K46" s="4">
        <v>42794</v>
      </c>
      <c r="L46" s="5" t="str">
        <f>"000534"</f>
        <v>000534</v>
      </c>
      <c r="M46" s="4">
        <v>42825</v>
      </c>
      <c r="N46" s="5">
        <v>16</v>
      </c>
      <c r="O46" s="5" t="str">
        <f>"005199"</f>
        <v>005199</v>
      </c>
      <c r="P46" s="4">
        <v>43326</v>
      </c>
      <c r="Q46" s="7">
        <v>1.9077999999999999</v>
      </c>
      <c r="R46" s="7">
        <v>0.14795</v>
      </c>
      <c r="S46" s="7">
        <v>1.7598499999999999</v>
      </c>
      <c r="T46" s="5">
        <v>174</v>
      </c>
      <c r="U46" s="4">
        <v>43330</v>
      </c>
      <c r="V46" s="5">
        <v>7892168416</v>
      </c>
      <c r="W46" s="6" t="s">
        <v>103</v>
      </c>
      <c r="X46" s="5" t="s">
        <v>32</v>
      </c>
      <c r="Y46" s="6" t="s">
        <v>33</v>
      </c>
      <c r="Z46" s="5" t="s">
        <v>67</v>
      </c>
      <c r="AA46" s="6" t="s">
        <v>66</v>
      </c>
      <c r="AB46" s="7">
        <v>1.9077999999999998E-2</v>
      </c>
      <c r="AD46" s="8"/>
      <c r="AF46" s="8"/>
      <c r="AG46" s="8"/>
    </row>
    <row r="47" spans="1:33" x14ac:dyDescent="0.2">
      <c r="A47" s="12">
        <v>4949</v>
      </c>
      <c r="B47" s="13" t="s">
        <v>31</v>
      </c>
      <c r="C47" s="13">
        <v>43330</v>
      </c>
      <c r="D47" s="5">
        <v>23</v>
      </c>
      <c r="E47" s="6" t="s">
        <v>71</v>
      </c>
      <c r="F47" s="5" t="s">
        <v>102</v>
      </c>
      <c r="G47" s="6" t="s">
        <v>101</v>
      </c>
      <c r="H47" s="5" t="str">
        <f>"000096"</f>
        <v>000096</v>
      </c>
      <c r="I47" s="4">
        <v>42570</v>
      </c>
      <c r="J47" s="5" t="str">
        <f>"000124"</f>
        <v>000124</v>
      </c>
      <c r="K47" s="4">
        <v>42794</v>
      </c>
      <c r="L47" s="5" t="str">
        <f>"000535"</f>
        <v>000535</v>
      </c>
      <c r="M47" s="4">
        <v>42825</v>
      </c>
      <c r="N47" s="5">
        <v>16</v>
      </c>
      <c r="O47" s="5" t="str">
        <f>"005200"</f>
        <v>005200</v>
      </c>
      <c r="P47" s="4">
        <v>43326</v>
      </c>
      <c r="Q47" s="7">
        <v>1.9015500000000001</v>
      </c>
      <c r="R47" s="7">
        <v>0.12658</v>
      </c>
      <c r="S47" s="7">
        <v>1.7749699999999999</v>
      </c>
      <c r="T47" s="5">
        <v>174</v>
      </c>
      <c r="U47" s="4">
        <v>43330</v>
      </c>
      <c r="V47" s="5">
        <v>7892168416</v>
      </c>
      <c r="W47" s="6" t="s">
        <v>98</v>
      </c>
      <c r="X47" s="5" t="s">
        <v>32</v>
      </c>
      <c r="Y47" s="6" t="s">
        <v>33</v>
      </c>
      <c r="Z47" s="5" t="s">
        <v>67</v>
      </c>
      <c r="AA47" s="6" t="s">
        <v>66</v>
      </c>
      <c r="AB47" s="7">
        <v>1.9015500000000001E-2</v>
      </c>
      <c r="AD47" s="8"/>
      <c r="AF47" s="8"/>
      <c r="AG47" s="8"/>
    </row>
    <row r="48" spans="1:33" x14ac:dyDescent="0.2">
      <c r="A48" s="12">
        <v>4950</v>
      </c>
      <c r="B48" s="13" t="s">
        <v>31</v>
      </c>
      <c r="C48" s="13">
        <v>43330</v>
      </c>
      <c r="D48" s="5">
        <v>23</v>
      </c>
      <c r="E48" s="6" t="s">
        <v>71</v>
      </c>
      <c r="F48" s="5" t="s">
        <v>100</v>
      </c>
      <c r="G48" s="6" t="s">
        <v>99</v>
      </c>
      <c r="H48" s="5" t="str">
        <f>"000098"</f>
        <v>000098</v>
      </c>
      <c r="I48" s="4">
        <v>42570</v>
      </c>
      <c r="J48" s="5" t="str">
        <f>"000123"</f>
        <v>000123</v>
      </c>
      <c r="K48" s="4">
        <v>42794</v>
      </c>
      <c r="L48" s="5" t="str">
        <f>"000536"</f>
        <v>000536</v>
      </c>
      <c r="M48" s="4">
        <v>42825</v>
      </c>
      <c r="N48" s="5">
        <v>16</v>
      </c>
      <c r="O48" s="5" t="str">
        <f>"005201"</f>
        <v>005201</v>
      </c>
      <c r="P48" s="4">
        <v>43326</v>
      </c>
      <c r="Q48" s="7">
        <v>1.9018999999999999</v>
      </c>
      <c r="R48" s="7">
        <v>0.12428</v>
      </c>
      <c r="S48" s="7">
        <v>1.77762</v>
      </c>
      <c r="T48" s="5">
        <v>174</v>
      </c>
      <c r="U48" s="4">
        <v>43330</v>
      </c>
      <c r="V48" s="5">
        <v>123456789</v>
      </c>
      <c r="W48" s="6" t="s">
        <v>98</v>
      </c>
      <c r="X48" s="5" t="s">
        <v>32</v>
      </c>
      <c r="Y48" s="6" t="s">
        <v>33</v>
      </c>
      <c r="Z48" s="5" t="s">
        <v>67</v>
      </c>
      <c r="AA48" s="6" t="s">
        <v>66</v>
      </c>
      <c r="AB48" s="7">
        <v>1.9018999999999998E-2</v>
      </c>
      <c r="AD48" s="8"/>
      <c r="AF48" s="8"/>
      <c r="AG48" s="8"/>
    </row>
    <row r="49" spans="1:33" x14ac:dyDescent="0.2">
      <c r="A49" s="12">
        <v>4951</v>
      </c>
      <c r="B49" s="13" t="s">
        <v>31</v>
      </c>
      <c r="C49" s="13">
        <v>43330</v>
      </c>
      <c r="D49" s="5">
        <v>23</v>
      </c>
      <c r="E49" s="6" t="s">
        <v>71</v>
      </c>
      <c r="F49" s="5" t="s">
        <v>97</v>
      </c>
      <c r="G49" s="6" t="s">
        <v>96</v>
      </c>
      <c r="H49" s="5" t="str">
        <f>"000186"</f>
        <v>000186</v>
      </c>
      <c r="I49" s="4">
        <v>42779</v>
      </c>
      <c r="J49" s="5" t="str">
        <f>"000145"</f>
        <v>000145</v>
      </c>
      <c r="K49" s="4">
        <v>42824</v>
      </c>
      <c r="L49" s="5" t="str">
        <f>"000538"</f>
        <v>000538</v>
      </c>
      <c r="M49" s="4">
        <v>42825</v>
      </c>
      <c r="N49" s="5">
        <v>17</v>
      </c>
      <c r="O49" s="5" t="str">
        <f>"005203"</f>
        <v>005203</v>
      </c>
      <c r="P49" s="4">
        <v>43326</v>
      </c>
      <c r="Q49" s="7">
        <v>9.4624900000000007</v>
      </c>
      <c r="R49" s="7">
        <v>0.58399999999999996</v>
      </c>
      <c r="S49" s="7">
        <v>8.8784899999999993</v>
      </c>
      <c r="T49" s="5">
        <v>174</v>
      </c>
      <c r="U49" s="4">
        <v>43330</v>
      </c>
      <c r="V49" s="5">
        <v>9066226641</v>
      </c>
      <c r="W49" s="6" t="s">
        <v>95</v>
      </c>
      <c r="X49" s="5" t="s">
        <v>32</v>
      </c>
      <c r="Y49" s="6" t="s">
        <v>33</v>
      </c>
      <c r="Z49" s="5" t="s">
        <v>67</v>
      </c>
      <c r="AA49" s="6" t="s">
        <v>66</v>
      </c>
      <c r="AB49" s="7">
        <v>9.4624900000000012E-2</v>
      </c>
      <c r="AD49" s="8"/>
      <c r="AF49" s="8"/>
      <c r="AG49" s="8"/>
    </row>
    <row r="50" spans="1:33" x14ac:dyDescent="0.2">
      <c r="A50" s="12">
        <v>4952</v>
      </c>
      <c r="B50" s="13" t="s">
        <v>31</v>
      </c>
      <c r="C50" s="13">
        <v>43330</v>
      </c>
      <c r="D50" s="5">
        <v>23</v>
      </c>
      <c r="E50" s="6" t="s">
        <v>71</v>
      </c>
      <c r="F50" s="5" t="s">
        <v>94</v>
      </c>
      <c r="G50" s="6" t="s">
        <v>93</v>
      </c>
      <c r="H50" s="5" t="str">
        <f>"000001"</f>
        <v>000001</v>
      </c>
      <c r="I50" s="4">
        <v>41702</v>
      </c>
      <c r="J50" s="5" t="str">
        <f>"000151"</f>
        <v>000151</v>
      </c>
      <c r="K50" s="4">
        <v>42824</v>
      </c>
      <c r="L50" s="5" t="str">
        <f>"000552"</f>
        <v>000552</v>
      </c>
      <c r="M50" s="4">
        <v>42825</v>
      </c>
      <c r="N50" s="5">
        <v>14</v>
      </c>
      <c r="O50" s="5" t="str">
        <f>"005218"</f>
        <v>005218</v>
      </c>
      <c r="P50" s="4">
        <v>43326</v>
      </c>
      <c r="Q50" s="7">
        <v>18.662320000000001</v>
      </c>
      <c r="R50" s="7">
        <v>1.47011</v>
      </c>
      <c r="S50" s="7">
        <v>17.192209999999999</v>
      </c>
      <c r="T50" s="5">
        <v>174</v>
      </c>
      <c r="U50" s="4">
        <v>43330</v>
      </c>
      <c r="V50" s="5">
        <v>123456789</v>
      </c>
      <c r="W50" s="6" t="s">
        <v>87</v>
      </c>
      <c r="X50" s="5" t="s">
        <v>32</v>
      </c>
      <c r="Y50" s="6" t="s">
        <v>33</v>
      </c>
      <c r="Z50" s="5" t="s">
        <v>67</v>
      </c>
      <c r="AA50" s="6" t="s">
        <v>66</v>
      </c>
      <c r="AB50" s="7">
        <v>0.18662320000000002</v>
      </c>
      <c r="AD50" s="8"/>
      <c r="AF50" s="8"/>
      <c r="AG50" s="8"/>
    </row>
    <row r="51" spans="1:33" x14ac:dyDescent="0.2">
      <c r="A51" s="12">
        <v>5187</v>
      </c>
      <c r="B51" s="13" t="s">
        <v>39</v>
      </c>
      <c r="C51" s="13">
        <v>43346</v>
      </c>
      <c r="D51" s="5">
        <v>23</v>
      </c>
      <c r="E51" s="6" t="s">
        <v>71</v>
      </c>
      <c r="F51" s="5" t="s">
        <v>92</v>
      </c>
      <c r="G51" s="6" t="s">
        <v>91</v>
      </c>
      <c r="H51" s="5" t="str">
        <f>"000088"</f>
        <v>000088</v>
      </c>
      <c r="I51" s="4">
        <v>42431</v>
      </c>
      <c r="J51" s="5" t="str">
        <f>"000144"</f>
        <v>000144</v>
      </c>
      <c r="K51" s="4">
        <v>42824</v>
      </c>
      <c r="L51" s="5" t="str">
        <f>"000540"</f>
        <v>000540</v>
      </c>
      <c r="M51" s="4">
        <v>42825</v>
      </c>
      <c r="N51" s="5">
        <v>16</v>
      </c>
      <c r="O51" s="5" t="str">
        <f>"005319"</f>
        <v>005319</v>
      </c>
      <c r="P51" s="4">
        <v>43333</v>
      </c>
      <c r="Q51" s="7">
        <v>14.5732</v>
      </c>
      <c r="R51" s="7">
        <v>1.1112</v>
      </c>
      <c r="S51" s="7">
        <v>13.462</v>
      </c>
      <c r="T51" s="5">
        <v>193</v>
      </c>
      <c r="U51" s="4">
        <v>43346</v>
      </c>
      <c r="V51" s="5">
        <v>8310763139</v>
      </c>
      <c r="W51" s="6" t="s">
        <v>90</v>
      </c>
      <c r="X51" s="5" t="s">
        <v>32</v>
      </c>
      <c r="Y51" s="6" t="s">
        <v>33</v>
      </c>
      <c r="Z51" s="5" t="s">
        <v>67</v>
      </c>
      <c r="AA51" s="6" t="s">
        <v>66</v>
      </c>
      <c r="AB51" s="7">
        <f>Q51/100</f>
        <v>0.145732</v>
      </c>
      <c r="AD51" s="8"/>
      <c r="AF51" s="8"/>
      <c r="AG51" s="8"/>
    </row>
    <row r="52" spans="1:33" x14ac:dyDescent="0.2">
      <c r="A52" s="12">
        <v>5535</v>
      </c>
      <c r="B52" s="13" t="s">
        <v>39</v>
      </c>
      <c r="C52" s="13">
        <v>43362</v>
      </c>
      <c r="D52" s="5">
        <v>23</v>
      </c>
      <c r="E52" s="6" t="s">
        <v>71</v>
      </c>
      <c r="F52" s="5" t="s">
        <v>89</v>
      </c>
      <c r="G52" s="6" t="s">
        <v>88</v>
      </c>
      <c r="H52" s="5" t="str">
        <f>"000063"</f>
        <v>000063</v>
      </c>
      <c r="I52" s="4">
        <v>42557</v>
      </c>
      <c r="J52" s="5" t="str">
        <f>"000150"</f>
        <v>000150</v>
      </c>
      <c r="K52" s="4">
        <v>42824</v>
      </c>
      <c r="L52" s="5" t="str">
        <f>"000551"</f>
        <v>000551</v>
      </c>
      <c r="M52" s="4">
        <v>42825</v>
      </c>
      <c r="N52" s="5">
        <v>16</v>
      </c>
      <c r="O52" s="5" t="str">
        <f>"005597"</f>
        <v>005597</v>
      </c>
      <c r="P52" s="4">
        <v>43347</v>
      </c>
      <c r="Q52" s="7">
        <v>8.7553199999999993</v>
      </c>
      <c r="R52" s="7">
        <v>0.66729000000000005</v>
      </c>
      <c r="S52" s="7">
        <v>8.0880299999999998</v>
      </c>
      <c r="T52" s="5">
        <v>207</v>
      </c>
      <c r="U52" s="4">
        <v>43362</v>
      </c>
      <c r="V52" s="5">
        <v>123456789</v>
      </c>
      <c r="W52" s="6" t="s">
        <v>87</v>
      </c>
      <c r="X52" s="5" t="s">
        <v>32</v>
      </c>
      <c r="Y52" s="6" t="s">
        <v>33</v>
      </c>
      <c r="Z52" s="5" t="s">
        <v>67</v>
      </c>
      <c r="AA52" s="6" t="s">
        <v>66</v>
      </c>
      <c r="AB52" s="7">
        <f>Q52/100</f>
        <v>8.7553199999999998E-2</v>
      </c>
      <c r="AD52" s="8"/>
      <c r="AF52" s="8"/>
      <c r="AG52" s="8"/>
    </row>
    <row r="53" spans="1:33" x14ac:dyDescent="0.2">
      <c r="A53" s="12">
        <v>5822</v>
      </c>
      <c r="B53" s="13" t="s">
        <v>51</v>
      </c>
      <c r="C53" s="13">
        <v>43379</v>
      </c>
      <c r="D53" s="5">
        <v>23</v>
      </c>
      <c r="E53" s="6" t="s">
        <v>71</v>
      </c>
      <c r="F53" s="5" t="s">
        <v>86</v>
      </c>
      <c r="G53" s="6" t="s">
        <v>85</v>
      </c>
      <c r="H53" s="5" t="str">
        <f>"000112"</f>
        <v>000112</v>
      </c>
      <c r="I53" s="4">
        <v>43359</v>
      </c>
      <c r="J53" s="5" t="str">
        <f>"000108"</f>
        <v>000108</v>
      </c>
      <c r="K53" s="4">
        <v>43359</v>
      </c>
      <c r="L53" s="5" t="str">
        <f>"000196"</f>
        <v>000196</v>
      </c>
      <c r="M53" s="4">
        <v>43360</v>
      </c>
      <c r="N53" s="5">
        <v>18</v>
      </c>
      <c r="O53" s="5" t="str">
        <f>"006122"</f>
        <v>006122</v>
      </c>
      <c r="P53" s="4">
        <v>43376</v>
      </c>
      <c r="Q53" s="7">
        <v>108.52822</v>
      </c>
      <c r="R53" s="7">
        <v>11.0745</v>
      </c>
      <c r="S53" s="7">
        <v>97.453720000000004</v>
      </c>
      <c r="T53" s="5">
        <v>221</v>
      </c>
      <c r="U53" s="4">
        <v>43379</v>
      </c>
      <c r="V53" s="5">
        <v>123456789</v>
      </c>
      <c r="W53" s="6" t="s">
        <v>84</v>
      </c>
      <c r="X53" s="5" t="s">
        <v>40</v>
      </c>
      <c r="Y53" s="6" t="s">
        <v>41</v>
      </c>
      <c r="Z53" s="5" t="s">
        <v>67</v>
      </c>
      <c r="AA53" s="6" t="s">
        <v>66</v>
      </c>
      <c r="AB53" s="7">
        <f>Q53/100</f>
        <v>1.0852822</v>
      </c>
      <c r="AD53" s="8"/>
      <c r="AF53" s="8"/>
      <c r="AG53" s="8"/>
    </row>
    <row r="54" spans="1:33" x14ac:dyDescent="0.2">
      <c r="A54" s="12">
        <v>5823</v>
      </c>
      <c r="B54" s="13" t="s">
        <v>51</v>
      </c>
      <c r="C54" s="13">
        <v>43379</v>
      </c>
      <c r="D54" s="5">
        <v>23</v>
      </c>
      <c r="E54" s="6" t="s">
        <v>71</v>
      </c>
      <c r="F54" s="5" t="s">
        <v>86</v>
      </c>
      <c r="G54" s="6" t="s">
        <v>85</v>
      </c>
      <c r="H54" s="5" t="str">
        <f>"000112"</f>
        <v>000112</v>
      </c>
      <c r="I54" s="4">
        <v>43359</v>
      </c>
      <c r="J54" s="5" t="str">
        <f>"000108"</f>
        <v>000108</v>
      </c>
      <c r="K54" s="4">
        <v>43359</v>
      </c>
      <c r="L54" s="5" t="str">
        <f>"000196"</f>
        <v>000196</v>
      </c>
      <c r="M54" s="4">
        <v>43360</v>
      </c>
      <c r="N54" s="5">
        <v>18</v>
      </c>
      <c r="O54" s="5" t="str">
        <f>"006122"</f>
        <v>006122</v>
      </c>
      <c r="P54" s="4">
        <v>43376</v>
      </c>
      <c r="Q54" s="7">
        <v>108.52822</v>
      </c>
      <c r="R54" s="7">
        <v>11.0745</v>
      </c>
      <c r="S54" s="7">
        <v>97.453720000000004</v>
      </c>
      <c r="T54" s="5">
        <v>221</v>
      </c>
      <c r="U54" s="4">
        <v>43379</v>
      </c>
      <c r="V54" s="5">
        <v>123456789</v>
      </c>
      <c r="W54" s="6" t="s">
        <v>84</v>
      </c>
      <c r="X54" s="5" t="s">
        <v>40</v>
      </c>
      <c r="Y54" s="6" t="s">
        <v>41</v>
      </c>
      <c r="Z54" s="5" t="s">
        <v>67</v>
      </c>
      <c r="AA54" s="6" t="s">
        <v>66</v>
      </c>
      <c r="AB54" s="7">
        <f>Q54/100</f>
        <v>1.0852822</v>
      </c>
      <c r="AD54" s="8"/>
      <c r="AF54" s="8"/>
      <c r="AG54" s="8"/>
    </row>
    <row r="55" spans="1:33" x14ac:dyDescent="0.2">
      <c r="A55" s="12">
        <v>5944</v>
      </c>
      <c r="B55" s="13" t="s">
        <v>51</v>
      </c>
      <c r="C55" s="13">
        <v>43385</v>
      </c>
      <c r="D55" s="5">
        <v>23</v>
      </c>
      <c r="E55" s="6" t="s">
        <v>71</v>
      </c>
      <c r="F55" s="5" t="s">
        <v>83</v>
      </c>
      <c r="G55" s="6" t="s">
        <v>82</v>
      </c>
      <c r="H55" s="5" t="str">
        <f>"000204"</f>
        <v>000204</v>
      </c>
      <c r="I55" s="4">
        <v>43112</v>
      </c>
      <c r="J55" s="5" t="str">
        <f>"000076"</f>
        <v>000076</v>
      </c>
      <c r="K55" s="4">
        <v>43304</v>
      </c>
      <c r="L55" s="5" t="str">
        <f>"000128"</f>
        <v>000128</v>
      </c>
      <c r="M55" s="4">
        <v>43304</v>
      </c>
      <c r="N55" s="5">
        <v>17</v>
      </c>
      <c r="O55" s="5" t="str">
        <f>"006315"</f>
        <v>006315</v>
      </c>
      <c r="P55" s="4">
        <v>43380</v>
      </c>
      <c r="Q55" s="7">
        <v>119.79652</v>
      </c>
      <c r="R55" s="7">
        <v>5.3490000000000002</v>
      </c>
      <c r="S55" s="7">
        <v>114.44752</v>
      </c>
      <c r="T55" s="5">
        <v>232</v>
      </c>
      <c r="U55" s="4">
        <v>43385</v>
      </c>
      <c r="V55" s="5">
        <v>9036304747</v>
      </c>
      <c r="W55" s="6" t="s">
        <v>81</v>
      </c>
      <c r="X55" s="5" t="s">
        <v>29</v>
      </c>
      <c r="Y55" s="6" t="s">
        <v>30</v>
      </c>
      <c r="Z55" s="5" t="s">
        <v>67</v>
      </c>
      <c r="AA55" s="6" t="s">
        <v>66</v>
      </c>
      <c r="AB55" s="7">
        <f>Q55/100</f>
        <v>1.1979652000000001</v>
      </c>
      <c r="AD55" s="8"/>
      <c r="AF55" s="8"/>
      <c r="AG55" s="8"/>
    </row>
    <row r="56" spans="1:33" x14ac:dyDescent="0.2">
      <c r="A56" s="12">
        <v>5945</v>
      </c>
      <c r="B56" s="13" t="s">
        <v>51</v>
      </c>
      <c r="C56" s="13">
        <v>43385</v>
      </c>
      <c r="D56" s="5">
        <v>23</v>
      </c>
      <c r="E56" s="6" t="s">
        <v>71</v>
      </c>
      <c r="F56" s="5" t="s">
        <v>80</v>
      </c>
      <c r="G56" s="6" t="s">
        <v>79</v>
      </c>
      <c r="H56" s="5" t="str">
        <f>"000029"</f>
        <v>000029</v>
      </c>
      <c r="I56" s="4">
        <v>42939</v>
      </c>
      <c r="J56" s="5" t="str">
        <f>"000024"</f>
        <v>000024</v>
      </c>
      <c r="K56" s="4">
        <v>42939</v>
      </c>
      <c r="L56" s="5" t="str">
        <f>"000025"</f>
        <v>000025</v>
      </c>
      <c r="M56" s="4">
        <v>42939</v>
      </c>
      <c r="N56" s="5">
        <v>17</v>
      </c>
      <c r="O56" s="5" t="str">
        <f>"004271"</f>
        <v>004271</v>
      </c>
      <c r="P56" s="4">
        <v>42947</v>
      </c>
      <c r="Q56" s="7">
        <v>5.25</v>
      </c>
      <c r="R56" s="7">
        <v>0.52500000000000002</v>
      </c>
      <c r="S56" s="7">
        <v>4.7249999999999996</v>
      </c>
      <c r="T56" s="5">
        <v>232</v>
      </c>
      <c r="U56" s="4">
        <v>43385</v>
      </c>
      <c r="V56" s="5">
        <v>123456789</v>
      </c>
      <c r="W56" s="6" t="s">
        <v>78</v>
      </c>
      <c r="X56" s="5" t="s">
        <v>29</v>
      </c>
      <c r="Y56" s="6" t="s">
        <v>30</v>
      </c>
      <c r="Z56" s="5" t="s">
        <v>67</v>
      </c>
      <c r="AA56" s="6" t="s">
        <v>66</v>
      </c>
      <c r="AB56" s="7">
        <f>Q56/100</f>
        <v>5.2499999999999998E-2</v>
      </c>
      <c r="AD56" s="8"/>
      <c r="AF56" s="8"/>
      <c r="AG56" s="8"/>
    </row>
    <row r="57" spans="1:33" x14ac:dyDescent="0.2">
      <c r="A57" s="12">
        <v>6732</v>
      </c>
      <c r="B57" s="13" t="s">
        <v>51</v>
      </c>
      <c r="C57" s="13">
        <v>43390</v>
      </c>
      <c r="D57" s="5">
        <v>23</v>
      </c>
      <c r="E57" s="6" t="s">
        <v>71</v>
      </c>
      <c r="F57" s="5" t="s">
        <v>77</v>
      </c>
      <c r="G57" s="6" t="s">
        <v>76</v>
      </c>
      <c r="H57" s="5" t="str">
        <f>"000249"</f>
        <v>000249</v>
      </c>
      <c r="I57" s="4">
        <v>43140</v>
      </c>
      <c r="J57" s="5" t="str">
        <f>"000116"</f>
        <v>000116</v>
      </c>
      <c r="K57" s="4">
        <v>43373</v>
      </c>
      <c r="L57" s="5" t="str">
        <f>"000219"</f>
        <v>000219</v>
      </c>
      <c r="M57" s="4">
        <v>43373</v>
      </c>
      <c r="N57" s="5">
        <v>18</v>
      </c>
      <c r="O57" s="5" t="str">
        <f>"006799"</f>
        <v>006799</v>
      </c>
      <c r="P57" s="4">
        <v>43389</v>
      </c>
      <c r="Q57" s="7">
        <v>4.9971199999999998</v>
      </c>
      <c r="R57" s="7">
        <v>0.55989999999999995</v>
      </c>
      <c r="S57" s="7">
        <v>4.4372199999999999</v>
      </c>
      <c r="T57" s="5">
        <v>245</v>
      </c>
      <c r="U57" s="4">
        <v>43390</v>
      </c>
      <c r="V57" s="5">
        <v>123456789</v>
      </c>
      <c r="W57" s="6" t="s">
        <v>75</v>
      </c>
      <c r="X57" s="5" t="s">
        <v>55</v>
      </c>
      <c r="Y57" s="6" t="s">
        <v>54</v>
      </c>
      <c r="Z57" s="5" t="s">
        <v>67</v>
      </c>
      <c r="AA57" s="6" t="s">
        <v>66</v>
      </c>
      <c r="AB57" s="7">
        <f>Q57/100</f>
        <v>4.99712E-2</v>
      </c>
      <c r="AD57" s="8"/>
      <c r="AF57" s="8"/>
      <c r="AG57" s="8"/>
    </row>
    <row r="58" spans="1:33" x14ac:dyDescent="0.2">
      <c r="A58" s="12">
        <v>6889</v>
      </c>
      <c r="B58" s="13" t="s">
        <v>51</v>
      </c>
      <c r="C58" s="13">
        <v>43400</v>
      </c>
      <c r="D58" s="5">
        <v>23</v>
      </c>
      <c r="E58" s="6" t="s">
        <v>71</v>
      </c>
      <c r="F58" s="5" t="s">
        <v>74</v>
      </c>
      <c r="G58" s="6" t="s">
        <v>73</v>
      </c>
      <c r="H58" s="5" t="str">
        <f>"000246"</f>
        <v>000246</v>
      </c>
      <c r="I58" s="4">
        <v>43140</v>
      </c>
      <c r="J58" s="5" t="str">
        <f>"000115"</f>
        <v>000115</v>
      </c>
      <c r="K58" s="4">
        <v>43373</v>
      </c>
      <c r="L58" s="5" t="str">
        <f>"000218"</f>
        <v>000218</v>
      </c>
      <c r="M58" s="4">
        <v>43373</v>
      </c>
      <c r="N58" s="5">
        <v>18</v>
      </c>
      <c r="O58" s="5" t="str">
        <f>"006971"</f>
        <v>006971</v>
      </c>
      <c r="P58" s="4">
        <v>43399</v>
      </c>
      <c r="Q58" s="7">
        <v>9.9950799999999997</v>
      </c>
      <c r="R58" s="7">
        <v>1.087</v>
      </c>
      <c r="S58" s="7">
        <v>8.90808</v>
      </c>
      <c r="T58" s="5">
        <v>251</v>
      </c>
      <c r="U58" s="4">
        <v>43400</v>
      </c>
      <c r="V58" s="5">
        <v>123456789</v>
      </c>
      <c r="W58" s="6" t="s">
        <v>72</v>
      </c>
      <c r="X58" s="5" t="s">
        <v>59</v>
      </c>
      <c r="Y58" s="6" t="s">
        <v>58</v>
      </c>
      <c r="Z58" s="5" t="s">
        <v>67</v>
      </c>
      <c r="AA58" s="6" t="s">
        <v>66</v>
      </c>
      <c r="AB58" s="7">
        <f>Q58/100</f>
        <v>9.9950799999999992E-2</v>
      </c>
      <c r="AD58" s="8"/>
      <c r="AF58" s="8"/>
      <c r="AG58" s="8"/>
    </row>
    <row r="59" spans="1:33" x14ac:dyDescent="0.2">
      <c r="A59" s="12">
        <v>7198</v>
      </c>
      <c r="B59" s="13" t="s">
        <v>50</v>
      </c>
      <c r="C59" s="13">
        <v>43420</v>
      </c>
      <c r="D59" s="5">
        <v>23</v>
      </c>
      <c r="E59" s="6" t="s">
        <v>71</v>
      </c>
      <c r="F59" s="5" t="s">
        <v>70</v>
      </c>
      <c r="G59" s="6" t="s">
        <v>69</v>
      </c>
      <c r="H59" s="5" t="str">
        <f>"000133"</f>
        <v>000133</v>
      </c>
      <c r="I59" s="4">
        <v>42598</v>
      </c>
      <c r="J59" s="5" t="str">
        <f>"000085"</f>
        <v>000085</v>
      </c>
      <c r="K59" s="4">
        <v>42704</v>
      </c>
      <c r="L59" s="5" t="str">
        <f>"000340"</f>
        <v>000340</v>
      </c>
      <c r="M59" s="4">
        <v>42732</v>
      </c>
      <c r="N59" s="5">
        <v>16</v>
      </c>
      <c r="O59" s="5" t="str">
        <f>"007238"</f>
        <v>007238</v>
      </c>
      <c r="P59" s="4">
        <v>43406</v>
      </c>
      <c r="Q59" s="7">
        <v>9.6807099999999995</v>
      </c>
      <c r="R59" s="7">
        <v>0.745</v>
      </c>
      <c r="S59" s="7">
        <v>8.9357100000000003</v>
      </c>
      <c r="T59" s="5">
        <v>267</v>
      </c>
      <c r="U59" s="4">
        <v>43420</v>
      </c>
      <c r="V59" s="5">
        <v>123456789</v>
      </c>
      <c r="W59" s="6" t="s">
        <v>68</v>
      </c>
      <c r="X59" s="5" t="s">
        <v>32</v>
      </c>
      <c r="Y59" s="6" t="s">
        <v>33</v>
      </c>
      <c r="Z59" s="5" t="s">
        <v>67</v>
      </c>
      <c r="AA59" s="6" t="s">
        <v>66</v>
      </c>
      <c r="AB59" s="7">
        <f>Q59/100</f>
        <v>9.6807099999999993E-2</v>
      </c>
      <c r="AD59" s="8"/>
      <c r="AF59" s="8"/>
      <c r="AG5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2019-01-14T10:21:33Z</dcterms:modified>
</cp:coreProperties>
</file>