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H30" i="1"/>
  <c r="J30" i="1"/>
  <c r="L30" i="1"/>
  <c r="O30" i="1"/>
  <c r="H31" i="1"/>
  <c r="J31" i="1"/>
  <c r="L31" i="1"/>
  <c r="O31" i="1"/>
  <c r="H32" i="1"/>
  <c r="J32" i="1"/>
  <c r="L32" i="1"/>
  <c r="O32" i="1"/>
  <c r="H33" i="1"/>
  <c r="J33" i="1"/>
  <c r="L33" i="1"/>
  <c r="O33" i="1"/>
  <c r="H34" i="1"/>
  <c r="J34" i="1"/>
  <c r="L34" i="1"/>
  <c r="O34" i="1"/>
  <c r="H35" i="1"/>
  <c r="J35" i="1"/>
  <c r="L35" i="1"/>
  <c r="O35" i="1"/>
  <c r="H36" i="1"/>
  <c r="J36" i="1"/>
  <c r="L36" i="1"/>
  <c r="O36" i="1"/>
  <c r="H37" i="1"/>
  <c r="J37" i="1"/>
  <c r="L37" i="1"/>
  <c r="O37" i="1"/>
  <c r="H38" i="1"/>
  <c r="J38" i="1"/>
  <c r="L38" i="1"/>
  <c r="O38" i="1"/>
  <c r="H39" i="1"/>
  <c r="J39" i="1"/>
  <c r="L39" i="1"/>
  <c r="O39" i="1"/>
  <c r="H40" i="1"/>
  <c r="J40" i="1"/>
  <c r="L40" i="1"/>
  <c r="O40" i="1"/>
  <c r="H41" i="1"/>
  <c r="J41" i="1"/>
  <c r="L41" i="1"/>
  <c r="O41" i="1"/>
  <c r="AB41" i="1"/>
  <c r="H42" i="1"/>
  <c r="J42" i="1"/>
  <c r="L42" i="1"/>
  <c r="O42" i="1"/>
  <c r="AB42" i="1"/>
  <c r="H43" i="1"/>
  <c r="J43" i="1"/>
  <c r="L43" i="1"/>
  <c r="O43" i="1"/>
  <c r="AB43" i="1"/>
  <c r="H44" i="1"/>
  <c r="J44" i="1"/>
  <c r="L44" i="1"/>
  <c r="O44" i="1"/>
  <c r="AB44" i="1"/>
  <c r="H45" i="1"/>
  <c r="J45" i="1"/>
  <c r="L45" i="1"/>
  <c r="O45" i="1"/>
  <c r="AB45" i="1"/>
  <c r="H46" i="1"/>
  <c r="J46" i="1"/>
  <c r="L46" i="1"/>
  <c r="O46" i="1"/>
  <c r="AB46" i="1"/>
  <c r="H47" i="1"/>
  <c r="J47" i="1"/>
  <c r="L47" i="1"/>
  <c r="O47" i="1"/>
  <c r="AB47" i="1"/>
  <c r="H48" i="1"/>
  <c r="J48" i="1"/>
  <c r="L48" i="1"/>
  <c r="O48" i="1"/>
  <c r="AB48" i="1"/>
  <c r="H49" i="1"/>
  <c r="J49" i="1"/>
  <c r="L49" i="1"/>
  <c r="O49" i="1"/>
  <c r="AB49" i="1"/>
  <c r="H50" i="1"/>
  <c r="J50" i="1"/>
  <c r="L50" i="1"/>
  <c r="O50" i="1"/>
  <c r="AB50" i="1"/>
  <c r="H51" i="1"/>
  <c r="J51" i="1"/>
  <c r="L51" i="1"/>
  <c r="O51" i="1"/>
  <c r="AB51" i="1"/>
  <c r="H52" i="1"/>
  <c r="J52" i="1"/>
  <c r="L52" i="1"/>
  <c r="O52" i="1"/>
  <c r="AB52" i="1"/>
  <c r="H53" i="1"/>
  <c r="J53" i="1"/>
  <c r="L53" i="1"/>
  <c r="O53" i="1"/>
  <c r="AB53" i="1"/>
  <c r="H54" i="1"/>
  <c r="J54" i="1"/>
  <c r="L54" i="1"/>
  <c r="O54" i="1"/>
  <c r="AB54" i="1"/>
  <c r="H55" i="1"/>
  <c r="J55" i="1"/>
  <c r="L55" i="1"/>
  <c r="O55" i="1"/>
  <c r="AB55" i="1"/>
</calcChain>
</file>

<file path=xl/sharedStrings.xml><?xml version="1.0" encoding="utf-8"?>
<sst xmlns="http://schemas.openxmlformats.org/spreadsheetml/2006/main" count="514" uniqueCount="197">
  <si>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</si>
  <si>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</si>
  <si>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</si>
  <si>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</si>
  <si>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</si>
  <si>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</si>
  <si>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</si>
  <si>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</si>
  <si>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</si>
  <si>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</si>
  <si>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</si>
  <si>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</si>
  <si>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</si>
  <si>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</si>
  <si>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</si>
  <si>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</si>
  <si>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</si>
  <si>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</si>
  <si>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</si>
  <si>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</si>
  <si>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</si>
  <si>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</si>
  <si>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</si>
  <si>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</si>
  <si>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</si>
  <si>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</si>
  <si>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</si>
  <si>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</si>
  <si>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</si>
  <si>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</si>
  <si>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</si>
  <si>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</si>
  <si>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</si>
  <si>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</si>
  <si>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</si>
  <si>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</si>
  <si>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</si>
  <si>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</si>
  <si>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</si>
  <si>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</si>
  <si>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P1802</t>
  </si>
  <si>
    <t>Water Supply New Areas</t>
  </si>
  <si>
    <t>P3111</t>
  </si>
  <si>
    <t>State Finance Commission Untied Grant Works</t>
  </si>
  <si>
    <t>P3110</t>
  </si>
  <si>
    <t>14th Finance Commission Grant Works</t>
  </si>
  <si>
    <t>P3296</t>
  </si>
  <si>
    <t>14th Finance Commission Works - Road and Footpath Maintenance</t>
  </si>
  <si>
    <t>November</t>
  </si>
  <si>
    <t>December</t>
  </si>
  <si>
    <t>October</t>
  </si>
  <si>
    <t xml:space="preserve">Dhananjaya B S </t>
  </si>
  <si>
    <t>M and R to Electrical Installations in Parks and Gardens, Playgrounds, Burial Grounds</t>
  </si>
  <si>
    <t>P0298</t>
  </si>
  <si>
    <t>Developmental works in Ward No. 82, 06,16,44,70,17,26,13,79,35 ( Rs. 300.00 lakhs per each ward)</t>
  </si>
  <si>
    <t>P3176</t>
  </si>
  <si>
    <t>14th Finance Commission Works - Community Property Maintenance (including Parks)</t>
  </si>
  <si>
    <t>P3292</t>
  </si>
  <si>
    <t xml:space="preserve"> Executive Engineer 1 - Projects 2 Central Zone</t>
  </si>
  <si>
    <t>ddo611</t>
  </si>
  <si>
    <t>Chaithanya Electricals</t>
  </si>
  <si>
    <t xml:space="preserve"> Assistant Executive Engineer Electrical West Zone</t>
  </si>
  <si>
    <t>ddo209</t>
  </si>
  <si>
    <t>Ms Pradeep Electricals</t>
  </si>
  <si>
    <t>M and R to Electrical Installation in Parks, Garden Play ground and Burial ground in Malleshwaram Constituency Areas in ward no-35, 36, 45, 64, 65, 66, and 76</t>
  </si>
  <si>
    <t>035-16-000030</t>
  </si>
  <si>
    <t>Aramane Nagara</t>
  </si>
  <si>
    <t xml:space="preserve"> Assistant Executive Engineer Mathikere West Zone</t>
  </si>
  <si>
    <t>ddo208</t>
  </si>
  <si>
    <t xml:space="preserve">Sri.Dhananjaya. B.S, </t>
  </si>
  <si>
    <t xml:space="preserve">Depot collection for the year 2016-17 in Aramanenagar Ward No.35                                                                                                                                                                                     </t>
  </si>
  <si>
    <t>035-17-000017</t>
  </si>
  <si>
    <t>Sri. Sanjay B, .</t>
  </si>
  <si>
    <t>Supply of emulsion for the year 2016-17</t>
  </si>
  <si>
    <t>035-17-000018</t>
  </si>
  <si>
    <t>S.M.S Electricals</t>
  </si>
  <si>
    <t>Providing Electrical maintenance to Sankey Tank Park in ward no 35</t>
  </si>
  <si>
    <t>035-13-000039</t>
  </si>
  <si>
    <t xml:space="preserve">Executive Engineer-2 KRIDL BBMP (West) </t>
  </si>
  <si>
    <t>Digging of borwell and pumping machinery and pipeline at near MSR nagar in ward no-35</t>
  </si>
  <si>
    <t>035-17-000026</t>
  </si>
  <si>
    <t>SRI NISCHAL K L</t>
  </si>
  <si>
    <t>Constrcuting Compost pits in Aramane Nagar Ward No-35.</t>
  </si>
  <si>
    <t>035-17-000022</t>
  </si>
  <si>
    <t>NISCHAL K LAKSHMAN</t>
  </si>
  <si>
    <t>Improvements to Drain in Ashwath nagar in ward no.35</t>
  </si>
  <si>
    <t>035-17-000019</t>
  </si>
  <si>
    <t xml:space="preserve">Gulshan KL </t>
  </si>
  <si>
    <t>Emergency Work in Sadashivanagar in Aramane Nagar Ward No-35.</t>
  </si>
  <si>
    <t>035-17-000005</t>
  </si>
  <si>
    <t>Nischal KL</t>
  </si>
  <si>
    <t>Emergency Work in Ashwath Nagar in Aramane Nagar Ward No-35.</t>
  </si>
  <si>
    <t>035-17-000004</t>
  </si>
  <si>
    <t xml:space="preserve">Gulshan KL  </t>
  </si>
  <si>
    <t>Emergency Work in MSR Nagar in Aramane Nagar Ward No-35.</t>
  </si>
  <si>
    <t>035-17-000003</t>
  </si>
  <si>
    <t>Gulshan KL</t>
  </si>
  <si>
    <t>Emergency Work in East Park-West Park in Malleshwaram  in Aramane Nagar Ward No-35.</t>
  </si>
  <si>
    <t>035-17-000006</t>
  </si>
  <si>
    <t>KRIDL Executive Engineer-2 M/s KRIDL BBMP(West)</t>
  </si>
  <si>
    <t>Providing Cement Concreting to 1st cross MSR Nagara, Aramane Nagara in ward No-35</t>
  </si>
  <si>
    <t>035-18-000036</t>
  </si>
  <si>
    <t>Improvements to 18th cross Malleshwaram Park in Aramane Nagara in ward No-35</t>
  </si>
  <si>
    <t>035-18-000035</t>
  </si>
  <si>
    <t>Providing Cement Concreting to East West Park Conservancy Roads Aramane Nagara in ward No-35.</t>
  </si>
  <si>
    <t>035-18-000033</t>
  </si>
  <si>
    <t>Providing Cement Concreting to Ashwath Nagara Conservency Roads Aramane Nagara in ward No-35.</t>
  </si>
  <si>
    <t>035-18-000034</t>
  </si>
  <si>
    <t xml:space="preserve"> Annual Operation And maintenance Of Street Lights at Aramanenagara in Ward No- 35</t>
  </si>
  <si>
    <t>035-16-000004</t>
  </si>
  <si>
    <t>Construction of bund wall to Sanky Tank</t>
  </si>
  <si>
    <t>P2832</t>
  </si>
  <si>
    <t>TSR Nirmaan Private Limited</t>
  </si>
  <si>
    <t>Construction of Bund wall in sankey tank in ward no 35</t>
  </si>
  <si>
    <t>035-14-000027</t>
  </si>
  <si>
    <t>M/s Vimos Technocrats Pvt Ltd</t>
  </si>
  <si>
    <t>Providing cement concreting to Coconut Garden Conservancy roads in ward no 35 Aramanenagar</t>
  </si>
  <si>
    <t>035-18-000039</t>
  </si>
  <si>
    <t>Providing cement concreting to Puttaiah compound conservancey roads in ward no 35 Aramanenagar</t>
  </si>
  <si>
    <t>035-18-000037</t>
  </si>
  <si>
    <t>Sri.Dhananjaya. B.S</t>
  </si>
  <si>
    <t>Engagement of Gangman and Hiring of Tractor / Tippers for Maintenance of Road Side Drains and Other civil Works in ward No. 35</t>
  </si>
  <si>
    <t>035-17-000070</t>
  </si>
  <si>
    <t>Sri. M/S Saitrisha InfraEngineers PVT Ltd.</t>
  </si>
  <si>
    <t>Dovelopement of Footpath in New BEL Road From MSR Hospital to RK Garden Western Side in ward no 35</t>
  </si>
  <si>
    <t>035-17-000036</t>
  </si>
  <si>
    <t xml:space="preserve">Sri. M/S Saitrisha InfraEngineers PVT Ltd </t>
  </si>
  <si>
    <t>Improvement to footpath and drains in Ranganathpura roads in ward no 35</t>
  </si>
  <si>
    <t>035-17-000043</t>
  </si>
  <si>
    <t xml:space="preserve">M/s Sai Trisha Infraengineers Pvt Ltd </t>
  </si>
  <si>
    <t>Improvement to footpath and drains in Poojari Layout and Kariyappa Layout roads in ward no 35</t>
  </si>
  <si>
    <t>035-17-000042</t>
  </si>
  <si>
    <t>Improvement to footpath and drains in Chikkamaranahalli roads in ward no 35</t>
  </si>
  <si>
    <t>035-17-000041</t>
  </si>
  <si>
    <t>Improvements and Asphalting to RMV 1st Stage 2nd Block, (Dollar s Colony) layout and Cross Roads and Main Roads in ward no.35</t>
  </si>
  <si>
    <t>035-17-000035</t>
  </si>
  <si>
    <t>Improvements and Asphalting to Ashwath nagar Cross Roads and Main Roads in Ward no-35.</t>
  </si>
  <si>
    <t>035-17-000034</t>
  </si>
  <si>
    <t>Improvements and Asphalting to AGS layout and ITI layout Cross Roads and Main Roads in ward no.35</t>
  </si>
  <si>
    <t>035-17-000033</t>
  </si>
  <si>
    <t>M/s Sai Trisha Infraengineers Pvt Ltd</t>
  </si>
  <si>
    <t>Improvements and Asphalting to MSR nagar Cross Roads in ward no.35</t>
  </si>
  <si>
    <t>035-17-000030</t>
  </si>
  <si>
    <t>Civil Experts Consultants and Testing center</t>
  </si>
  <si>
    <t>Sri. M/S Saitrisha InfraEngineers PVT Ltd</t>
  </si>
  <si>
    <t>Improvement to footpath and drains in MSR Nagar Main roads and Cross roads ward no 35</t>
  </si>
  <si>
    <t>035-17-000039</t>
  </si>
  <si>
    <t>M/s Sai Trisha Infraengineers Pvt Ltd 0</t>
  </si>
  <si>
    <t>Improvements and Asphalting to MSR nagar Main Roads in ward no.35</t>
  </si>
  <si>
    <t>035-17-000031</t>
  </si>
  <si>
    <t>Providing asphalting to RMV 2nd Block AramaneNagara Roads in Ward 35</t>
  </si>
  <si>
    <t>035-17-000038</t>
  </si>
  <si>
    <t>Improvements and Asphalting to Chikkamaranahalli Cross Roads and Main Roads in ward no.35</t>
  </si>
  <si>
    <t>035-17-000032</t>
  </si>
  <si>
    <t>Sri. M/S Saitrisha InfraEngineers PVT Ltd., .</t>
  </si>
  <si>
    <t>Improvement to footpath and drains UPO in Sadhashivnagara roads in ward no 35</t>
  </si>
  <si>
    <t>035-17-000040</t>
  </si>
  <si>
    <t>Providing asphalting to AramaneNagara Roads in Ward 35</t>
  </si>
  <si>
    <t>035-17-000037</t>
  </si>
  <si>
    <t>Providing cement concreting to 1st main road Ashwath nagar in ward no 35 Aramanenagar</t>
  </si>
  <si>
    <t>035-18-000038</t>
  </si>
  <si>
    <t xml:space="preserve">Nischal K L </t>
  </si>
  <si>
    <t>Emergency works in Sadashiv nagar Area in ward no.35</t>
  </si>
  <si>
    <t>035-16-000013</t>
  </si>
  <si>
    <t>Nischal K L</t>
  </si>
  <si>
    <t>Emergency works in Ranganth pura Area in ward no.35</t>
  </si>
  <si>
    <t>035-16-000012</t>
  </si>
  <si>
    <t>Dhananjaya.B.S</t>
  </si>
  <si>
    <t>Maintenance of BBMP Building at Jaladarshini layout in ward no.35</t>
  </si>
  <si>
    <t>035-16-000019</t>
  </si>
  <si>
    <t>T Indra Kumar</t>
  </si>
  <si>
    <t xml:space="preserve">Mainteance of Ward (including Debries Removal) Aramanenagara in ward no.35 From 2nd shift 200PM to 10.00PM </t>
  </si>
  <si>
    <t>035-16-000017</t>
  </si>
  <si>
    <t xml:space="preserve">Mainteance of Ward (including Debries Removal) Sadashivanagar of Ward No -35, From Ist shift 6.00AM to 2.00PM </t>
  </si>
  <si>
    <t>035-16-000018</t>
  </si>
  <si>
    <t>Emergency Works (Maintenance and Repairs)</t>
  </si>
  <si>
    <t>P2103</t>
  </si>
  <si>
    <t xml:space="preserve">T Jayaprakash </t>
  </si>
  <si>
    <t>Providing and laying of 300mm dia UGD line and construction of new man holes at methanisation plant to main line Aramanenagar ward no 35</t>
  </si>
  <si>
    <t>035-16-000026</t>
  </si>
  <si>
    <t xml:space="preserve">Executive Engineer-2  M/s KRIDL BBMP(West)  </t>
  </si>
  <si>
    <t>Providing water supply schemes to Aramanenagar in ward no 35</t>
  </si>
  <si>
    <t>035-17-000047</t>
  </si>
  <si>
    <t xml:space="preserve">Executive Engineer-2  M/s KRIDL BBMP(West) </t>
  </si>
  <si>
    <t>Digging of borwell and pumping machinery and pipeline at near Ashwathnagar in ward no-35</t>
  </si>
  <si>
    <t>035-17-000025</t>
  </si>
  <si>
    <t>Digging of borwell and pumping machinery and pipeline at near Aramanenagar in ward no-35</t>
  </si>
  <si>
    <t>035-17-000024</t>
  </si>
  <si>
    <t>Construction of Ward Offices at Janatha Bazar in Ward 35</t>
  </si>
  <si>
    <t>P3097</t>
  </si>
  <si>
    <t>Construction of Ward offices at Janatha Bazar ward no 35</t>
  </si>
  <si>
    <t>035-16-000032</t>
  </si>
  <si>
    <t xml:space="preserve">Sri. M/S Saitrisha InfraEngineers PVT Ltd., </t>
  </si>
  <si>
    <t>Sri Dhananjaya BS</t>
  </si>
  <si>
    <t>Sri Gulshan KL</t>
  </si>
  <si>
    <t>Providing CC Camera at Garbage Block Spots in ward no 35</t>
  </si>
  <si>
    <t>035-17-000069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</si>
</sst>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tabSelected="1" workbookViewId="0">
      <selection activeCell="A3" sqref="A3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27</v>
      </c>
      <c r="B2" s="13" t="s">
        <v>28</v>
      </c>
      <c r="C2" s="13">
        <v>43194</v>
      </c>
      <c r="D2" s="5">
        <v>35</v>
      </c>
      <c r="E2" s="6" t="s">
        <v>66</v>
      </c>
      <c r="F2" s="5" t="s">
        <v>149</v>
      </c>
      <c r="G2" s="6" t="s">
        <v>148</v>
      </c>
      <c r="H2" s="5" t="str">
        <f>"000182"</f>
        <v>000182</v>
      </c>
      <c r="I2" s="4">
        <v>43124</v>
      </c>
      <c r="J2" s="5" t="str">
        <f>"000034"</f>
        <v>000034</v>
      </c>
      <c r="K2" s="4">
        <v>43132</v>
      </c>
      <c r="L2" s="5" t="str">
        <f>"000084"</f>
        <v>000084</v>
      </c>
      <c r="M2" s="4">
        <v>43133</v>
      </c>
      <c r="N2" s="5">
        <v>17</v>
      </c>
      <c r="O2" s="5" t="str">
        <f>"010772"</f>
        <v>010772</v>
      </c>
      <c r="P2" s="4">
        <v>43183</v>
      </c>
      <c r="Q2" s="7">
        <v>32.365409999999997</v>
      </c>
      <c r="R2" s="7">
        <v>1.80541</v>
      </c>
      <c r="S2" s="7">
        <v>30.56</v>
      </c>
      <c r="T2" s="5">
        <v>1</v>
      </c>
      <c r="U2" s="4">
        <v>43194</v>
      </c>
      <c r="V2" s="5">
        <v>8022975610</v>
      </c>
      <c r="W2" s="6" t="s">
        <v>192</v>
      </c>
      <c r="X2" s="5" t="s">
        <v>29</v>
      </c>
      <c r="Y2" s="6" t="s">
        <v>30</v>
      </c>
      <c r="Z2" s="5" t="s">
        <v>68</v>
      </c>
      <c r="AA2" s="6" t="s">
        <v>67</v>
      </c>
      <c r="AB2" s="7">
        <v>0.32365409999999994</v>
      </c>
      <c r="AD2" s="8"/>
      <c r="AF2" s="8"/>
      <c r="AG2" s="8"/>
    </row>
    <row r="3" spans="1:33" x14ac:dyDescent="0.2">
      <c r="A3" s="12">
        <v>28</v>
      </c>
      <c r="B3" s="13" t="s">
        <v>28</v>
      </c>
      <c r="C3" s="13">
        <v>43194</v>
      </c>
      <c r="D3" s="5">
        <v>35</v>
      </c>
      <c r="E3" s="6" t="s">
        <v>66</v>
      </c>
      <c r="F3" s="5" t="s">
        <v>153</v>
      </c>
      <c r="G3" s="6" t="s">
        <v>152</v>
      </c>
      <c r="H3" s="5" t="str">
        <f>"000233"</f>
        <v>000233</v>
      </c>
      <c r="I3" s="4">
        <v>43154</v>
      </c>
      <c r="J3" s="5" t="str">
        <f>"000048"</f>
        <v>000048</v>
      </c>
      <c r="K3" s="4">
        <v>43155</v>
      </c>
      <c r="L3" s="5" t="str">
        <f>"000122"</f>
        <v>000122</v>
      </c>
      <c r="M3" s="4">
        <v>43162</v>
      </c>
      <c r="N3" s="5">
        <v>17</v>
      </c>
      <c r="O3" s="5" t="str">
        <f>"000113"</f>
        <v>000113</v>
      </c>
      <c r="P3" s="4">
        <v>43192</v>
      </c>
      <c r="Q3" s="7">
        <v>43.204259999999998</v>
      </c>
      <c r="R3" s="7">
        <v>2.3842599999999998</v>
      </c>
      <c r="S3" s="7">
        <v>40.82</v>
      </c>
      <c r="T3" s="5">
        <v>1</v>
      </c>
      <c r="U3" s="4">
        <v>43194</v>
      </c>
      <c r="V3" s="5">
        <v>8022975610</v>
      </c>
      <c r="W3" s="6" t="s">
        <v>192</v>
      </c>
      <c r="X3" s="5" t="s">
        <v>29</v>
      </c>
      <c r="Y3" s="6" t="s">
        <v>30</v>
      </c>
      <c r="Z3" s="5" t="s">
        <v>68</v>
      </c>
      <c r="AA3" s="6" t="s">
        <v>67</v>
      </c>
      <c r="AB3" s="7">
        <v>0.4320426</v>
      </c>
      <c r="AD3" s="8"/>
      <c r="AF3" s="8"/>
      <c r="AG3" s="8"/>
    </row>
    <row r="4" spans="1:33" x14ac:dyDescent="0.2">
      <c r="A4" s="12">
        <v>181</v>
      </c>
      <c r="B4" s="13" t="s">
        <v>28</v>
      </c>
      <c r="C4" s="13">
        <v>43195</v>
      </c>
      <c r="D4" s="5">
        <v>35</v>
      </c>
      <c r="E4" s="6" t="s">
        <v>66</v>
      </c>
      <c r="F4" s="5" t="s">
        <v>142</v>
      </c>
      <c r="G4" s="6" t="s">
        <v>141</v>
      </c>
      <c r="H4" s="5" t="str">
        <f>"000181"</f>
        <v>000181</v>
      </c>
      <c r="I4" s="4">
        <v>43124</v>
      </c>
      <c r="J4" s="5" t="str">
        <f>"000033"</f>
        <v>000033</v>
      </c>
      <c r="K4" s="4">
        <v>43132</v>
      </c>
      <c r="L4" s="5" t="str">
        <f>"000083"</f>
        <v>000083</v>
      </c>
      <c r="M4" s="4">
        <v>43133</v>
      </c>
      <c r="N4" s="5">
        <v>17</v>
      </c>
      <c r="O4" s="5" t="str">
        <f>"010765"</f>
        <v>010765</v>
      </c>
      <c r="P4" s="4">
        <v>43183</v>
      </c>
      <c r="Q4" s="7">
        <v>29.402259999999998</v>
      </c>
      <c r="R4" s="7">
        <v>1.62226</v>
      </c>
      <c r="S4" s="7">
        <v>27.78</v>
      </c>
      <c r="T4" s="5">
        <v>6</v>
      </c>
      <c r="U4" s="4">
        <v>43195</v>
      </c>
      <c r="V4" s="5">
        <v>8022975610</v>
      </c>
      <c r="W4" s="6" t="s">
        <v>154</v>
      </c>
      <c r="X4" s="5" t="s">
        <v>29</v>
      </c>
      <c r="Y4" s="6" t="s">
        <v>30</v>
      </c>
      <c r="Z4" s="5" t="s">
        <v>68</v>
      </c>
      <c r="AA4" s="6" t="s">
        <v>67</v>
      </c>
      <c r="AB4" s="7">
        <v>0.29402259999999997</v>
      </c>
      <c r="AD4" s="8"/>
      <c r="AF4" s="8"/>
      <c r="AG4" s="8"/>
    </row>
    <row r="5" spans="1:33" x14ac:dyDescent="0.2">
      <c r="A5" s="12">
        <v>182</v>
      </c>
      <c r="B5" s="13" t="s">
        <v>28</v>
      </c>
      <c r="C5" s="13">
        <v>43195</v>
      </c>
      <c r="D5" s="5">
        <v>35</v>
      </c>
      <c r="E5" s="6" t="s">
        <v>66</v>
      </c>
      <c r="F5" s="5" t="s">
        <v>135</v>
      </c>
      <c r="G5" s="6" t="s">
        <v>134</v>
      </c>
      <c r="H5" s="5" t="str">
        <f>"000235"</f>
        <v>000235</v>
      </c>
      <c r="I5" s="4">
        <v>43154</v>
      </c>
      <c r="J5" s="5" t="str">
        <f>"000047"</f>
        <v>000047</v>
      </c>
      <c r="K5" s="4">
        <v>43155</v>
      </c>
      <c r="L5" s="5" t="str">
        <f>"000124"</f>
        <v>000124</v>
      </c>
      <c r="M5" s="4">
        <v>43162</v>
      </c>
      <c r="N5" s="5">
        <v>17</v>
      </c>
      <c r="O5" s="5" t="str">
        <f>"000213"</f>
        <v>000213</v>
      </c>
      <c r="P5" s="4">
        <v>43194</v>
      </c>
      <c r="Q5" s="7">
        <v>30.9693</v>
      </c>
      <c r="R5" s="7">
        <v>1.7193000000000001</v>
      </c>
      <c r="S5" s="7">
        <v>29.25</v>
      </c>
      <c r="T5" s="5">
        <v>6</v>
      </c>
      <c r="U5" s="4">
        <v>43195</v>
      </c>
      <c r="V5" s="5">
        <v>8022975610</v>
      </c>
      <c r="W5" s="6" t="s">
        <v>192</v>
      </c>
      <c r="X5" s="5" t="s">
        <v>29</v>
      </c>
      <c r="Y5" s="6" t="s">
        <v>30</v>
      </c>
      <c r="Z5" s="5" t="s">
        <v>68</v>
      </c>
      <c r="AA5" s="6" t="s">
        <v>67</v>
      </c>
      <c r="AB5" s="7">
        <v>0.309693</v>
      </c>
      <c r="AD5" s="8"/>
      <c r="AF5" s="8"/>
      <c r="AG5" s="8"/>
    </row>
    <row r="6" spans="1:33" x14ac:dyDescent="0.2">
      <c r="A6" s="12">
        <v>649</v>
      </c>
      <c r="B6" s="13" t="s">
        <v>28</v>
      </c>
      <c r="C6" s="13">
        <v>43215</v>
      </c>
      <c r="D6" s="5">
        <v>35</v>
      </c>
      <c r="E6" s="6" t="s">
        <v>66</v>
      </c>
      <c r="F6" s="5" t="s">
        <v>196</v>
      </c>
      <c r="G6" s="6" t="s">
        <v>195</v>
      </c>
      <c r="H6" s="5" t="str">
        <f>"000113"</f>
        <v>000113</v>
      </c>
      <c r="I6" s="4">
        <v>43094</v>
      </c>
      <c r="J6" s="5" t="str">
        <f>"000059"</f>
        <v>000059</v>
      </c>
      <c r="K6" s="4">
        <v>43183</v>
      </c>
      <c r="L6" s="5" t="str">
        <f>"000138"</f>
        <v>000138</v>
      </c>
      <c r="M6" s="4">
        <v>43187</v>
      </c>
      <c r="N6" s="5">
        <v>17</v>
      </c>
      <c r="O6" s="5" t="str">
        <f>"000610"</f>
        <v>000610</v>
      </c>
      <c r="P6" s="4">
        <v>43209</v>
      </c>
      <c r="Q6" s="7">
        <v>8.3155900000000003</v>
      </c>
      <c r="R6" s="7">
        <v>0.83989000000000003</v>
      </c>
      <c r="S6" s="7">
        <v>7.4756999999999998</v>
      </c>
      <c r="T6" s="5">
        <v>24</v>
      </c>
      <c r="U6" s="4">
        <v>43215</v>
      </c>
      <c r="V6" s="5">
        <v>8022975610</v>
      </c>
      <c r="W6" s="6" t="s">
        <v>194</v>
      </c>
      <c r="X6" s="5" t="s">
        <v>44</v>
      </c>
      <c r="Y6" s="6" t="s">
        <v>45</v>
      </c>
      <c r="Z6" s="5" t="s">
        <v>68</v>
      </c>
      <c r="AA6" s="6" t="s">
        <v>67</v>
      </c>
      <c r="AB6" s="7">
        <v>8.3155900000000005E-2</v>
      </c>
      <c r="AD6" s="8"/>
      <c r="AF6" s="8"/>
      <c r="AG6" s="8"/>
    </row>
    <row r="7" spans="1:33" x14ac:dyDescent="0.2">
      <c r="A7" s="12">
        <v>809</v>
      </c>
      <c r="B7" s="13" t="s">
        <v>38</v>
      </c>
      <c r="C7" s="13">
        <v>43225</v>
      </c>
      <c r="D7" s="5">
        <v>35</v>
      </c>
      <c r="E7" s="6" t="s">
        <v>66</v>
      </c>
      <c r="F7" s="5" t="s">
        <v>191</v>
      </c>
      <c r="G7" s="6" t="s">
        <v>190</v>
      </c>
      <c r="H7" s="5" t="str">
        <f>"000069"</f>
        <v>000069</v>
      </c>
      <c r="I7" s="4">
        <v>42742</v>
      </c>
      <c r="J7" s="5" t="str">
        <f>"000154"</f>
        <v>000154</v>
      </c>
      <c r="K7" s="4">
        <v>42766</v>
      </c>
      <c r="L7" s="5" t="str">
        <f>"000516"</f>
        <v>000516</v>
      </c>
      <c r="M7" s="4">
        <v>42766</v>
      </c>
      <c r="N7" s="5">
        <v>16</v>
      </c>
      <c r="O7" s="5" t="str">
        <f>"001018"</f>
        <v>001018</v>
      </c>
      <c r="P7" s="4">
        <v>43223</v>
      </c>
      <c r="Q7" s="7">
        <v>72.947649999999996</v>
      </c>
      <c r="R7" s="7">
        <v>6.04765</v>
      </c>
      <c r="S7" s="7">
        <v>66.900000000000006</v>
      </c>
      <c r="T7" s="5">
        <v>38</v>
      </c>
      <c r="U7" s="4">
        <v>43225</v>
      </c>
      <c r="V7" s="5">
        <v>8022975610</v>
      </c>
      <c r="W7" s="6" t="s">
        <v>193</v>
      </c>
      <c r="X7" s="5" t="s">
        <v>189</v>
      </c>
      <c r="Y7" s="6" t="s">
        <v>188</v>
      </c>
      <c r="Z7" s="5" t="s">
        <v>68</v>
      </c>
      <c r="AA7" s="6" t="s">
        <v>67</v>
      </c>
      <c r="AB7" s="7">
        <v>0.72947649999999997</v>
      </c>
      <c r="AD7" s="8"/>
      <c r="AF7" s="8"/>
      <c r="AG7" s="8"/>
    </row>
    <row r="8" spans="1:33" x14ac:dyDescent="0.2">
      <c r="A8" s="12">
        <v>932</v>
      </c>
      <c r="B8" s="13" t="s">
        <v>38</v>
      </c>
      <c r="C8" s="13">
        <v>43229</v>
      </c>
      <c r="D8" s="5">
        <v>35</v>
      </c>
      <c r="E8" s="6" t="s">
        <v>66</v>
      </c>
      <c r="F8" s="5" t="s">
        <v>139</v>
      </c>
      <c r="G8" s="6" t="s">
        <v>138</v>
      </c>
      <c r="H8" s="5" t="str">
        <f>"000184"</f>
        <v>000184</v>
      </c>
      <c r="I8" s="4">
        <v>43124</v>
      </c>
      <c r="J8" s="5" t="str">
        <f>"000035"</f>
        <v>000035</v>
      </c>
      <c r="K8" s="4">
        <v>43132</v>
      </c>
      <c r="L8" s="5" t="str">
        <f>"000085"</f>
        <v>000085</v>
      </c>
      <c r="M8" s="4">
        <v>43133</v>
      </c>
      <c r="N8" s="5">
        <v>17</v>
      </c>
      <c r="O8" s="5" t="str">
        <f>"010766"</f>
        <v>010766</v>
      </c>
      <c r="P8" s="4">
        <v>43183</v>
      </c>
      <c r="Q8" s="7">
        <v>39.131140000000002</v>
      </c>
      <c r="R8" s="7">
        <v>2.1612100000000001</v>
      </c>
      <c r="S8" s="7">
        <v>36.969929999999998</v>
      </c>
      <c r="T8" s="5">
        <v>43</v>
      </c>
      <c r="U8" s="4">
        <v>43229</v>
      </c>
      <c r="V8" s="5">
        <v>8022975610</v>
      </c>
      <c r="W8" s="6" t="s">
        <v>192</v>
      </c>
      <c r="X8" s="5" t="s">
        <v>29</v>
      </c>
      <c r="Y8" s="6" t="s">
        <v>30</v>
      </c>
      <c r="Z8" s="5" t="s">
        <v>68</v>
      </c>
      <c r="AA8" s="6" t="s">
        <v>67</v>
      </c>
      <c r="AB8" s="7">
        <v>0.39131140000000003</v>
      </c>
      <c r="AD8" s="8"/>
      <c r="AF8" s="8"/>
      <c r="AG8" s="8"/>
    </row>
    <row r="9" spans="1:33" x14ac:dyDescent="0.2">
      <c r="A9" s="12">
        <v>1614</v>
      </c>
      <c r="B9" s="13" t="s">
        <v>37</v>
      </c>
      <c r="C9" s="13">
        <v>43252</v>
      </c>
      <c r="D9" s="5">
        <v>35</v>
      </c>
      <c r="E9" s="6" t="s">
        <v>66</v>
      </c>
      <c r="F9" s="5" t="s">
        <v>191</v>
      </c>
      <c r="G9" s="6" t="s">
        <v>190</v>
      </c>
      <c r="H9" s="5" t="str">
        <f>"000069"</f>
        <v>000069</v>
      </c>
      <c r="I9" s="4">
        <v>42742</v>
      </c>
      <c r="J9" s="5" t="str">
        <f>"000154"</f>
        <v>000154</v>
      </c>
      <c r="K9" s="4">
        <v>42766</v>
      </c>
      <c r="L9" s="5" t="str">
        <f>"000516"</f>
        <v>000516</v>
      </c>
      <c r="M9" s="4">
        <v>42766</v>
      </c>
      <c r="N9" s="5">
        <v>16</v>
      </c>
      <c r="O9" s="5" t="str">
        <f>"001018"</f>
        <v>001018</v>
      </c>
      <c r="P9" s="4">
        <v>43223</v>
      </c>
      <c r="Q9" s="7">
        <v>38.652619999999999</v>
      </c>
      <c r="R9" s="7">
        <v>2.8226200000000001</v>
      </c>
      <c r="S9" s="7">
        <v>35.83</v>
      </c>
      <c r="T9" s="5">
        <v>64</v>
      </c>
      <c r="U9" s="4">
        <v>43252</v>
      </c>
      <c r="V9" s="5">
        <v>8022975610</v>
      </c>
      <c r="W9" s="6" t="s">
        <v>51</v>
      </c>
      <c r="X9" s="5" t="s">
        <v>189</v>
      </c>
      <c r="Y9" s="6" t="s">
        <v>188</v>
      </c>
      <c r="Z9" s="5" t="s">
        <v>68</v>
      </c>
      <c r="AA9" s="6" t="s">
        <v>67</v>
      </c>
      <c r="AB9" s="7">
        <v>0.38652619999999999</v>
      </c>
      <c r="AD9" s="8"/>
      <c r="AF9" s="8"/>
      <c r="AG9" s="8"/>
    </row>
    <row r="10" spans="1:33" x14ac:dyDescent="0.2">
      <c r="A10" s="12">
        <v>1615</v>
      </c>
      <c r="B10" s="13" t="s">
        <v>37</v>
      </c>
      <c r="C10" s="13">
        <v>43252</v>
      </c>
      <c r="D10" s="5">
        <v>35</v>
      </c>
      <c r="E10" s="6" t="s">
        <v>66</v>
      </c>
      <c r="F10" s="5" t="s">
        <v>187</v>
      </c>
      <c r="G10" s="6" t="s">
        <v>186</v>
      </c>
      <c r="H10" s="5" t="str">
        <f>"000039"</f>
        <v>000039</v>
      </c>
      <c r="I10" s="4">
        <v>42873</v>
      </c>
      <c r="J10" s="5" t="str">
        <f>"000023"</f>
        <v>000023</v>
      </c>
      <c r="K10" s="4">
        <v>42886</v>
      </c>
      <c r="L10" s="5" t="str">
        <f>"000051"</f>
        <v>000051</v>
      </c>
      <c r="M10" s="4">
        <v>42886</v>
      </c>
      <c r="N10" s="5">
        <v>17</v>
      </c>
      <c r="O10" s="5" t="str">
        <f>"001926"</f>
        <v>001926</v>
      </c>
      <c r="P10" s="4">
        <v>43246</v>
      </c>
      <c r="Q10" s="7">
        <v>4.9760400000000002</v>
      </c>
      <c r="R10" s="7">
        <v>0.60289999999999999</v>
      </c>
      <c r="S10" s="7">
        <v>4.3731400000000002</v>
      </c>
      <c r="T10" s="5">
        <v>64</v>
      </c>
      <c r="U10" s="4">
        <v>43252</v>
      </c>
      <c r="V10" s="5">
        <v>9964124916</v>
      </c>
      <c r="W10" s="6" t="s">
        <v>183</v>
      </c>
      <c r="X10" s="5" t="s">
        <v>40</v>
      </c>
      <c r="Y10" s="6" t="s">
        <v>41</v>
      </c>
      <c r="Z10" s="5" t="s">
        <v>68</v>
      </c>
      <c r="AA10" s="6" t="s">
        <v>67</v>
      </c>
      <c r="AB10" s="7">
        <v>4.9760400000000003E-2</v>
      </c>
      <c r="AD10" s="8"/>
      <c r="AF10" s="8"/>
      <c r="AG10" s="8"/>
    </row>
    <row r="11" spans="1:33" x14ac:dyDescent="0.2">
      <c r="A11" s="12">
        <v>1616</v>
      </c>
      <c r="B11" s="13" t="s">
        <v>37</v>
      </c>
      <c r="C11" s="13">
        <v>43252</v>
      </c>
      <c r="D11" s="5">
        <v>35</v>
      </c>
      <c r="E11" s="6" t="s">
        <v>66</v>
      </c>
      <c r="F11" s="5" t="s">
        <v>185</v>
      </c>
      <c r="G11" s="6" t="s">
        <v>184</v>
      </c>
      <c r="H11" s="5" t="str">
        <f>"000038"</f>
        <v>000038</v>
      </c>
      <c r="I11" s="4">
        <v>42873</v>
      </c>
      <c r="J11" s="5" t="str">
        <f>"000024"</f>
        <v>000024</v>
      </c>
      <c r="K11" s="4">
        <v>42886</v>
      </c>
      <c r="L11" s="5" t="str">
        <f>"000052"</f>
        <v>000052</v>
      </c>
      <c r="M11" s="4">
        <v>42886</v>
      </c>
      <c r="N11" s="5">
        <v>17</v>
      </c>
      <c r="O11" s="5" t="str">
        <f>"001928"</f>
        <v>001928</v>
      </c>
      <c r="P11" s="4">
        <v>43246</v>
      </c>
      <c r="Q11" s="7">
        <v>4.9498600000000001</v>
      </c>
      <c r="R11" s="7">
        <v>0.59950000000000003</v>
      </c>
      <c r="S11" s="7">
        <v>4.3503600000000002</v>
      </c>
      <c r="T11" s="5">
        <v>64</v>
      </c>
      <c r="U11" s="4">
        <v>43252</v>
      </c>
      <c r="V11" s="5">
        <v>9964124916</v>
      </c>
      <c r="W11" s="6" t="s">
        <v>183</v>
      </c>
      <c r="X11" s="5" t="s">
        <v>40</v>
      </c>
      <c r="Y11" s="6" t="s">
        <v>41</v>
      </c>
      <c r="Z11" s="5" t="s">
        <v>68</v>
      </c>
      <c r="AA11" s="6" t="s">
        <v>67</v>
      </c>
      <c r="AB11" s="7">
        <v>4.9498600000000004E-2</v>
      </c>
      <c r="AD11" s="8"/>
      <c r="AF11" s="8"/>
      <c r="AG11" s="8"/>
    </row>
    <row r="12" spans="1:33" x14ac:dyDescent="0.2">
      <c r="A12" s="12">
        <v>2000</v>
      </c>
      <c r="B12" s="13" t="s">
        <v>37</v>
      </c>
      <c r="C12" s="13">
        <v>43262</v>
      </c>
      <c r="D12" s="5">
        <v>35</v>
      </c>
      <c r="E12" s="6" t="s">
        <v>66</v>
      </c>
      <c r="F12" s="5" t="s">
        <v>182</v>
      </c>
      <c r="G12" s="6" t="s">
        <v>181</v>
      </c>
      <c r="H12" s="5" t="str">
        <f>"000013"</f>
        <v>000013</v>
      </c>
      <c r="I12" s="4">
        <v>42859</v>
      </c>
      <c r="J12" s="5" t="str">
        <f>"000044"</f>
        <v>000044</v>
      </c>
      <c r="K12" s="4">
        <v>42916</v>
      </c>
      <c r="L12" s="5" t="str">
        <f>"000080"</f>
        <v>000080</v>
      </c>
      <c r="M12" s="4">
        <v>42916</v>
      </c>
      <c r="N12" s="5">
        <v>17</v>
      </c>
      <c r="O12" s="5" t="str">
        <f>"002262"</f>
        <v>002262</v>
      </c>
      <c r="P12" s="4">
        <v>43257</v>
      </c>
      <c r="Q12" s="7">
        <v>19.949179999999998</v>
      </c>
      <c r="R12" s="7">
        <v>2.7131500000000002</v>
      </c>
      <c r="S12" s="7">
        <v>17.23603</v>
      </c>
      <c r="T12" s="5">
        <v>79</v>
      </c>
      <c r="U12" s="4">
        <v>43262</v>
      </c>
      <c r="V12" s="5">
        <v>9964124916</v>
      </c>
      <c r="W12" s="6" t="s">
        <v>180</v>
      </c>
      <c r="X12" s="5" t="s">
        <v>55</v>
      </c>
      <c r="Y12" s="6" t="s">
        <v>54</v>
      </c>
      <c r="Z12" s="5" t="s">
        <v>68</v>
      </c>
      <c r="AA12" s="6" t="s">
        <v>67</v>
      </c>
      <c r="AB12" s="7">
        <v>0.1994918</v>
      </c>
      <c r="AD12" s="8"/>
      <c r="AF12" s="8"/>
      <c r="AG12" s="8"/>
    </row>
    <row r="13" spans="1:33" x14ac:dyDescent="0.2">
      <c r="A13" s="12">
        <v>2235</v>
      </c>
      <c r="B13" s="13" t="s">
        <v>37</v>
      </c>
      <c r="C13" s="13">
        <v>43269</v>
      </c>
      <c r="D13" s="5">
        <v>35</v>
      </c>
      <c r="E13" s="6" t="s">
        <v>66</v>
      </c>
      <c r="F13" s="5" t="s">
        <v>179</v>
      </c>
      <c r="G13" s="6" t="s">
        <v>178</v>
      </c>
      <c r="H13" s="5" t="str">
        <f>"000037"</f>
        <v>000037</v>
      </c>
      <c r="I13" s="4">
        <v>42510</v>
      </c>
      <c r="J13" s="5" t="str">
        <f>"000119"</f>
        <v>000119</v>
      </c>
      <c r="K13" s="4">
        <v>42612</v>
      </c>
      <c r="L13" s="5" t="str">
        <f>"000366"</f>
        <v>000366</v>
      </c>
      <c r="M13" s="4">
        <v>42642</v>
      </c>
      <c r="N13" s="5">
        <v>16</v>
      </c>
      <c r="O13" s="5" t="str">
        <f>"002563"</f>
        <v>002563</v>
      </c>
      <c r="P13" s="4">
        <v>43265</v>
      </c>
      <c r="Q13" s="7">
        <v>11.705880000000001</v>
      </c>
      <c r="R13" s="7">
        <v>0.80588000000000004</v>
      </c>
      <c r="S13" s="7">
        <v>10.9</v>
      </c>
      <c r="T13" s="5">
        <v>90</v>
      </c>
      <c r="U13" s="4">
        <v>43269</v>
      </c>
      <c r="V13" s="5">
        <v>8022975610</v>
      </c>
      <c r="W13" s="6" t="s">
        <v>177</v>
      </c>
      <c r="X13" s="5" t="s">
        <v>176</v>
      </c>
      <c r="Y13" s="6" t="s">
        <v>175</v>
      </c>
      <c r="Z13" s="5" t="s">
        <v>68</v>
      </c>
      <c r="AA13" s="6" t="s">
        <v>67</v>
      </c>
      <c r="AB13" s="7">
        <v>0.1170588</v>
      </c>
      <c r="AD13" s="8"/>
      <c r="AF13" s="8"/>
      <c r="AG13" s="8"/>
    </row>
    <row r="14" spans="1:33" x14ac:dyDescent="0.2">
      <c r="A14" s="12">
        <v>2236</v>
      </c>
      <c r="B14" s="13" t="s">
        <v>37</v>
      </c>
      <c r="C14" s="13">
        <v>43269</v>
      </c>
      <c r="D14" s="5">
        <v>35</v>
      </c>
      <c r="E14" s="6" t="s">
        <v>66</v>
      </c>
      <c r="F14" s="5" t="s">
        <v>174</v>
      </c>
      <c r="G14" s="6" t="s">
        <v>173</v>
      </c>
      <c r="H14" s="5" t="str">
        <f>"000062"</f>
        <v>000062</v>
      </c>
      <c r="I14" s="4">
        <v>42420</v>
      </c>
      <c r="J14" s="5" t="str">
        <f>"000152"</f>
        <v>000152</v>
      </c>
      <c r="K14" s="4">
        <v>42766</v>
      </c>
      <c r="L14" s="5" t="str">
        <f>"000514"</f>
        <v>000514</v>
      </c>
      <c r="M14" s="4">
        <v>42766</v>
      </c>
      <c r="N14" s="5">
        <v>16</v>
      </c>
      <c r="O14" s="5" t="str">
        <f>"002506"</f>
        <v>002506</v>
      </c>
      <c r="P14" s="4">
        <v>43264</v>
      </c>
      <c r="Q14" s="7">
        <v>11.23296</v>
      </c>
      <c r="R14" s="7">
        <v>1.4167000000000001</v>
      </c>
      <c r="S14" s="7">
        <v>9.8162599999999998</v>
      </c>
      <c r="T14" s="5">
        <v>91</v>
      </c>
      <c r="U14" s="4">
        <v>43269</v>
      </c>
      <c r="V14" s="5">
        <v>8022975610</v>
      </c>
      <c r="W14" s="6" t="s">
        <v>170</v>
      </c>
      <c r="X14" s="5" t="s">
        <v>32</v>
      </c>
      <c r="Y14" s="6" t="s">
        <v>33</v>
      </c>
      <c r="Z14" s="5" t="s">
        <v>68</v>
      </c>
      <c r="AA14" s="6" t="s">
        <v>67</v>
      </c>
      <c r="AB14" s="7">
        <v>0.1123296</v>
      </c>
      <c r="AD14" s="8"/>
      <c r="AF14" s="8"/>
      <c r="AG14" s="8"/>
    </row>
    <row r="15" spans="1:33" x14ac:dyDescent="0.2">
      <c r="A15" s="12">
        <v>2237</v>
      </c>
      <c r="B15" s="13" t="s">
        <v>37</v>
      </c>
      <c r="C15" s="13">
        <v>43269</v>
      </c>
      <c r="D15" s="5">
        <v>35</v>
      </c>
      <c r="E15" s="6" t="s">
        <v>66</v>
      </c>
      <c r="F15" s="5" t="s">
        <v>172</v>
      </c>
      <c r="G15" s="6" t="s">
        <v>171</v>
      </c>
      <c r="H15" s="5" t="str">
        <f>"000077"</f>
        <v>000077</v>
      </c>
      <c r="I15" s="4">
        <v>42426</v>
      </c>
      <c r="J15" s="5" t="str">
        <f>"000151"</f>
        <v>000151</v>
      </c>
      <c r="K15" s="4">
        <v>42766</v>
      </c>
      <c r="L15" s="5" t="str">
        <f>"000515"</f>
        <v>000515</v>
      </c>
      <c r="M15" s="4">
        <v>42766</v>
      </c>
      <c r="N15" s="5">
        <v>16</v>
      </c>
      <c r="O15" s="5" t="str">
        <f>"002507"</f>
        <v>002507</v>
      </c>
      <c r="P15" s="4">
        <v>43264</v>
      </c>
      <c r="Q15" s="7">
        <v>11.45373</v>
      </c>
      <c r="R15" s="7">
        <v>1.4432499999999999</v>
      </c>
      <c r="S15" s="7">
        <v>10.010479999999999</v>
      </c>
      <c r="T15" s="5">
        <v>91</v>
      </c>
      <c r="U15" s="4">
        <v>43269</v>
      </c>
      <c r="V15" s="5">
        <v>8022975610</v>
      </c>
      <c r="W15" s="6" t="s">
        <v>170</v>
      </c>
      <c r="X15" s="5" t="s">
        <v>32</v>
      </c>
      <c r="Y15" s="6" t="s">
        <v>33</v>
      </c>
      <c r="Z15" s="5" t="s">
        <v>68</v>
      </c>
      <c r="AA15" s="6" t="s">
        <v>67</v>
      </c>
      <c r="AB15" s="7">
        <v>0.11453730000000001</v>
      </c>
      <c r="AD15" s="8"/>
      <c r="AF15" s="8"/>
      <c r="AG15" s="8"/>
    </row>
    <row r="16" spans="1:33" x14ac:dyDescent="0.2">
      <c r="A16" s="12">
        <v>2444</v>
      </c>
      <c r="B16" s="13" t="s">
        <v>37</v>
      </c>
      <c r="C16" s="13">
        <v>43272</v>
      </c>
      <c r="D16" s="5">
        <v>35</v>
      </c>
      <c r="E16" s="6" t="s">
        <v>66</v>
      </c>
      <c r="F16" s="5" t="s">
        <v>169</v>
      </c>
      <c r="G16" s="6" t="s">
        <v>168</v>
      </c>
      <c r="H16" s="5" t="str">
        <f>"000042"</f>
        <v>000042</v>
      </c>
      <c r="I16" s="4">
        <v>42399</v>
      </c>
      <c r="J16" s="5" t="str">
        <f>"000180"</f>
        <v>000180</v>
      </c>
      <c r="K16" s="4">
        <v>42794</v>
      </c>
      <c r="L16" s="5" t="str">
        <f>"000615"</f>
        <v>000615</v>
      </c>
      <c r="M16" s="4">
        <v>42794</v>
      </c>
      <c r="N16" s="5">
        <v>16</v>
      </c>
      <c r="O16" s="5" t="str">
        <f>"002694"</f>
        <v>002694</v>
      </c>
      <c r="P16" s="4">
        <v>43270</v>
      </c>
      <c r="Q16" s="7">
        <v>1.78853</v>
      </c>
      <c r="R16" s="7">
        <v>5.5800000000000002E-2</v>
      </c>
      <c r="S16" s="7">
        <v>1.7327300000000001</v>
      </c>
      <c r="T16" s="5">
        <v>98</v>
      </c>
      <c r="U16" s="4">
        <v>43272</v>
      </c>
      <c r="V16" s="5">
        <v>8022975610</v>
      </c>
      <c r="W16" s="6" t="s">
        <v>167</v>
      </c>
      <c r="X16" s="5" t="s">
        <v>32</v>
      </c>
      <c r="Y16" s="6" t="s">
        <v>33</v>
      </c>
      <c r="Z16" s="5" t="s">
        <v>68</v>
      </c>
      <c r="AA16" s="6" t="s">
        <v>67</v>
      </c>
      <c r="AB16" s="7">
        <v>1.78853E-2</v>
      </c>
      <c r="AD16" s="8"/>
      <c r="AF16" s="8"/>
      <c r="AG16" s="8"/>
    </row>
    <row r="17" spans="1:33" x14ac:dyDescent="0.2">
      <c r="A17" s="12">
        <v>2494</v>
      </c>
      <c r="B17" s="13" t="s">
        <v>37</v>
      </c>
      <c r="C17" s="13">
        <v>43274</v>
      </c>
      <c r="D17" s="5">
        <v>35</v>
      </c>
      <c r="E17" s="6" t="s">
        <v>66</v>
      </c>
      <c r="F17" s="5" t="s">
        <v>166</v>
      </c>
      <c r="G17" s="6" t="s">
        <v>165</v>
      </c>
      <c r="H17" s="5" t="str">
        <f>"000014"</f>
        <v>000014</v>
      </c>
      <c r="I17" s="4">
        <v>42488</v>
      </c>
      <c r="J17" s="5" t="str">
        <f>"000133"</f>
        <v>000133</v>
      </c>
      <c r="K17" s="4">
        <v>42669</v>
      </c>
      <c r="L17" s="5" t="str">
        <f>"000391"</f>
        <v>000391</v>
      </c>
      <c r="M17" s="4">
        <v>42671</v>
      </c>
      <c r="N17" s="5">
        <v>16</v>
      </c>
      <c r="O17" s="5" t="str">
        <f>"002862"</f>
        <v>002862</v>
      </c>
      <c r="P17" s="4">
        <v>43273</v>
      </c>
      <c r="Q17" s="7">
        <v>4.22323</v>
      </c>
      <c r="R17" s="7">
        <v>0.35322999999999999</v>
      </c>
      <c r="S17" s="7">
        <v>3.87</v>
      </c>
      <c r="T17" s="5">
        <v>99</v>
      </c>
      <c r="U17" s="4">
        <v>43274</v>
      </c>
      <c r="V17" s="5">
        <v>9900025678</v>
      </c>
      <c r="W17" s="6" t="s">
        <v>164</v>
      </c>
      <c r="X17" s="5" t="s">
        <v>32</v>
      </c>
      <c r="Y17" s="6" t="s">
        <v>33</v>
      </c>
      <c r="Z17" s="5" t="s">
        <v>68</v>
      </c>
      <c r="AA17" s="6" t="s">
        <v>67</v>
      </c>
      <c r="AB17" s="7">
        <v>4.22323E-2</v>
      </c>
      <c r="AD17" s="8"/>
      <c r="AF17" s="8"/>
      <c r="AG17" s="8"/>
    </row>
    <row r="18" spans="1:33" x14ac:dyDescent="0.2">
      <c r="A18" s="12">
        <v>2495</v>
      </c>
      <c r="B18" s="13" t="s">
        <v>37</v>
      </c>
      <c r="C18" s="13">
        <v>43274</v>
      </c>
      <c r="D18" s="5">
        <v>35</v>
      </c>
      <c r="E18" s="6" t="s">
        <v>66</v>
      </c>
      <c r="F18" s="5" t="s">
        <v>163</v>
      </c>
      <c r="G18" s="6" t="s">
        <v>162</v>
      </c>
      <c r="H18" s="5" t="str">
        <f>"000018"</f>
        <v>000018</v>
      </c>
      <c r="I18" s="4">
        <v>42488</v>
      </c>
      <c r="J18" s="5" t="str">
        <f>"000134"</f>
        <v>000134</v>
      </c>
      <c r="K18" s="4">
        <v>42669</v>
      </c>
      <c r="L18" s="5" t="str">
        <f>"000392"</f>
        <v>000392</v>
      </c>
      <c r="M18" s="4">
        <v>42671</v>
      </c>
      <c r="N18" s="5">
        <v>16</v>
      </c>
      <c r="O18" s="5" t="str">
        <f>"002863"</f>
        <v>002863</v>
      </c>
      <c r="P18" s="4">
        <v>43273</v>
      </c>
      <c r="Q18" s="7">
        <v>4.2072500000000002</v>
      </c>
      <c r="R18" s="7">
        <v>0.35725000000000001</v>
      </c>
      <c r="S18" s="7">
        <v>3.85</v>
      </c>
      <c r="T18" s="5">
        <v>99</v>
      </c>
      <c r="U18" s="4">
        <v>43274</v>
      </c>
      <c r="V18" s="5">
        <v>9900025678</v>
      </c>
      <c r="W18" s="6" t="s">
        <v>161</v>
      </c>
      <c r="X18" s="5" t="s">
        <v>32</v>
      </c>
      <c r="Y18" s="6" t="s">
        <v>33</v>
      </c>
      <c r="Z18" s="5" t="s">
        <v>68</v>
      </c>
      <c r="AA18" s="6" t="s">
        <v>67</v>
      </c>
      <c r="AB18" s="7">
        <v>4.2072499999999999E-2</v>
      </c>
      <c r="AD18" s="8"/>
      <c r="AF18" s="8"/>
      <c r="AG18" s="8"/>
    </row>
    <row r="19" spans="1:33" x14ac:dyDescent="0.2">
      <c r="A19" s="12">
        <v>2794</v>
      </c>
      <c r="B19" s="13" t="s">
        <v>34</v>
      </c>
      <c r="C19" s="13">
        <v>43283</v>
      </c>
      <c r="D19" s="5">
        <v>35</v>
      </c>
      <c r="E19" s="6" t="s">
        <v>66</v>
      </c>
      <c r="F19" s="5" t="s">
        <v>160</v>
      </c>
      <c r="G19" s="6" t="s">
        <v>159</v>
      </c>
      <c r="H19" s="5" t="str">
        <f>"000008"</f>
        <v>000008</v>
      </c>
      <c r="I19" s="4">
        <v>43201</v>
      </c>
      <c r="J19" s="5" t="str">
        <f>"000037"</f>
        <v>000037</v>
      </c>
      <c r="K19" s="4">
        <v>43246</v>
      </c>
      <c r="L19" s="5" t="str">
        <f>"000027"</f>
        <v>000027</v>
      </c>
      <c r="M19" s="4">
        <v>43250</v>
      </c>
      <c r="N19" s="5">
        <v>18</v>
      </c>
      <c r="O19" s="5" t="str">
        <f>"003078"</f>
        <v>003078</v>
      </c>
      <c r="P19" s="4">
        <v>43280</v>
      </c>
      <c r="Q19" s="7">
        <v>19.95618</v>
      </c>
      <c r="R19" s="7">
        <v>2.3661799999999999</v>
      </c>
      <c r="S19" s="7">
        <v>17.59</v>
      </c>
      <c r="T19" s="5">
        <v>104</v>
      </c>
      <c r="U19" s="4">
        <v>43283</v>
      </c>
      <c r="V19" s="5">
        <v>8022975610</v>
      </c>
      <c r="W19" s="6" t="s">
        <v>78</v>
      </c>
      <c r="X19" s="5" t="s">
        <v>42</v>
      </c>
      <c r="Y19" s="6" t="s">
        <v>43</v>
      </c>
      <c r="Z19" s="5" t="s">
        <v>68</v>
      </c>
      <c r="AA19" s="6" t="s">
        <v>67</v>
      </c>
      <c r="AB19" s="7">
        <v>0.19956180000000001</v>
      </c>
      <c r="AD19" s="8"/>
      <c r="AF19" s="8"/>
      <c r="AG19" s="8"/>
    </row>
    <row r="20" spans="1:33" x14ac:dyDescent="0.2">
      <c r="A20" s="12">
        <v>2795</v>
      </c>
      <c r="B20" s="13" t="s">
        <v>34</v>
      </c>
      <c r="C20" s="13">
        <v>43283</v>
      </c>
      <c r="D20" s="5">
        <v>35</v>
      </c>
      <c r="E20" s="6" t="s">
        <v>66</v>
      </c>
      <c r="F20" s="5" t="s">
        <v>158</v>
      </c>
      <c r="G20" s="6" t="s">
        <v>157</v>
      </c>
      <c r="H20" s="5" t="str">
        <f>"000189"</f>
        <v>000189</v>
      </c>
      <c r="I20" s="4">
        <v>43124</v>
      </c>
      <c r="J20" s="5" t="str">
        <f>"000037"</f>
        <v>000037</v>
      </c>
      <c r="K20" s="4">
        <v>43132</v>
      </c>
      <c r="L20" s="5" t="str">
        <f>"000088"</f>
        <v>000088</v>
      </c>
      <c r="M20" s="4">
        <v>43133</v>
      </c>
      <c r="N20" s="5">
        <v>17</v>
      </c>
      <c r="O20" s="5" t="str">
        <f>"010774"</f>
        <v>010774</v>
      </c>
      <c r="P20" s="4">
        <v>43183</v>
      </c>
      <c r="Q20" s="7">
        <v>27.22289</v>
      </c>
      <c r="R20" s="7">
        <v>1.5228900000000001</v>
      </c>
      <c r="S20" s="7">
        <v>25.7</v>
      </c>
      <c r="T20" s="5">
        <v>105</v>
      </c>
      <c r="U20" s="4">
        <v>43283</v>
      </c>
      <c r="V20" s="5">
        <v>8022975610</v>
      </c>
      <c r="W20" s="6" t="s">
        <v>126</v>
      </c>
      <c r="X20" s="5" t="s">
        <v>29</v>
      </c>
      <c r="Y20" s="6" t="s">
        <v>30</v>
      </c>
      <c r="Z20" s="5" t="s">
        <v>68</v>
      </c>
      <c r="AA20" s="6" t="s">
        <v>67</v>
      </c>
      <c r="AB20" s="7">
        <v>0.2722289</v>
      </c>
      <c r="AD20" s="8"/>
      <c r="AF20" s="8"/>
      <c r="AG20" s="8"/>
    </row>
    <row r="21" spans="1:33" x14ac:dyDescent="0.2">
      <c r="A21" s="12">
        <v>2796</v>
      </c>
      <c r="B21" s="13" t="s">
        <v>34</v>
      </c>
      <c r="C21" s="13">
        <v>43283</v>
      </c>
      <c r="D21" s="5">
        <v>35</v>
      </c>
      <c r="E21" s="6" t="s">
        <v>66</v>
      </c>
      <c r="F21" s="5" t="s">
        <v>156</v>
      </c>
      <c r="G21" s="6" t="s">
        <v>155</v>
      </c>
      <c r="H21" s="5" t="str">
        <f>"000192"</f>
        <v>000192</v>
      </c>
      <c r="I21" s="4">
        <v>43124</v>
      </c>
      <c r="J21" s="5" t="str">
        <f>"000051"</f>
        <v>000051</v>
      </c>
      <c r="K21" s="4">
        <v>43247</v>
      </c>
      <c r="L21" s="5" t="str">
        <f>"000032"</f>
        <v>000032</v>
      </c>
      <c r="M21" s="4">
        <v>43250</v>
      </c>
      <c r="N21" s="5">
        <v>17</v>
      </c>
      <c r="O21" s="5" t="str">
        <f>"003009"</f>
        <v>003009</v>
      </c>
      <c r="P21" s="4">
        <v>43277</v>
      </c>
      <c r="Q21" s="7">
        <v>1.4894400000000001</v>
      </c>
      <c r="R21" s="7">
        <v>8.5440000000000002E-2</v>
      </c>
      <c r="S21" s="7">
        <v>1.4039999999999999</v>
      </c>
      <c r="T21" s="5">
        <v>105</v>
      </c>
      <c r="U21" s="4">
        <v>43283</v>
      </c>
      <c r="V21" s="5">
        <v>8022975610</v>
      </c>
      <c r="W21" s="6" t="s">
        <v>154</v>
      </c>
      <c r="X21" s="5" t="s">
        <v>29</v>
      </c>
      <c r="Y21" s="6" t="s">
        <v>30</v>
      </c>
      <c r="Z21" s="5" t="s">
        <v>68</v>
      </c>
      <c r="AA21" s="6" t="s">
        <v>67</v>
      </c>
      <c r="AB21" s="7">
        <v>1.48944E-2</v>
      </c>
      <c r="AD21" s="8"/>
      <c r="AF21" s="8"/>
      <c r="AG21" s="8"/>
    </row>
    <row r="22" spans="1:33" x14ac:dyDescent="0.2">
      <c r="A22" s="12">
        <v>2797</v>
      </c>
      <c r="B22" s="13" t="s">
        <v>34</v>
      </c>
      <c r="C22" s="13">
        <v>43283</v>
      </c>
      <c r="D22" s="5">
        <v>35</v>
      </c>
      <c r="E22" s="6" t="s">
        <v>66</v>
      </c>
      <c r="F22" s="5" t="s">
        <v>153</v>
      </c>
      <c r="G22" s="6" t="s">
        <v>152</v>
      </c>
      <c r="H22" s="5" t="str">
        <f>"000233"</f>
        <v>000233</v>
      </c>
      <c r="I22" s="4">
        <v>43154</v>
      </c>
      <c r="J22" s="5" t="str">
        <f>"000048"</f>
        <v>000048</v>
      </c>
      <c r="K22" s="4">
        <v>43155</v>
      </c>
      <c r="L22" s="5" t="str">
        <f>"000122"</f>
        <v>000122</v>
      </c>
      <c r="M22" s="4">
        <v>43162</v>
      </c>
      <c r="N22" s="5">
        <v>17</v>
      </c>
      <c r="O22" s="5" t="str">
        <f>"000113"</f>
        <v>000113</v>
      </c>
      <c r="P22" s="4">
        <v>43192</v>
      </c>
      <c r="Q22" s="7">
        <v>4.0765399999999996</v>
      </c>
      <c r="R22" s="7">
        <v>0.25653999999999999</v>
      </c>
      <c r="S22" s="7">
        <v>3.82</v>
      </c>
      <c r="T22" s="5">
        <v>105</v>
      </c>
      <c r="U22" s="4">
        <v>43283</v>
      </c>
      <c r="V22" s="5">
        <v>8022975610</v>
      </c>
      <c r="W22" s="6" t="s">
        <v>126</v>
      </c>
      <c r="X22" s="5" t="s">
        <v>29</v>
      </c>
      <c r="Y22" s="6" t="s">
        <v>30</v>
      </c>
      <c r="Z22" s="5" t="s">
        <v>68</v>
      </c>
      <c r="AA22" s="6" t="s">
        <v>67</v>
      </c>
      <c r="AB22" s="7">
        <v>4.0765399999999993E-2</v>
      </c>
      <c r="AD22" s="8"/>
      <c r="AF22" s="8"/>
      <c r="AG22" s="8"/>
    </row>
    <row r="23" spans="1:33" x14ac:dyDescent="0.2">
      <c r="A23" s="12">
        <v>2798</v>
      </c>
      <c r="B23" s="13" t="s">
        <v>34</v>
      </c>
      <c r="C23" s="13">
        <v>43283</v>
      </c>
      <c r="D23" s="5">
        <v>35</v>
      </c>
      <c r="E23" s="6" t="s">
        <v>66</v>
      </c>
      <c r="F23" s="5" t="s">
        <v>151</v>
      </c>
      <c r="G23" s="6" t="s">
        <v>150</v>
      </c>
      <c r="H23" s="5" t="str">
        <f>"000190"</f>
        <v>000190</v>
      </c>
      <c r="I23" s="4">
        <v>43124</v>
      </c>
      <c r="J23" s="5" t="str">
        <f>"000038"</f>
        <v>000038</v>
      </c>
      <c r="K23" s="4">
        <v>43132</v>
      </c>
      <c r="L23" s="5" t="str">
        <f>"000093"</f>
        <v>000093</v>
      </c>
      <c r="M23" s="4">
        <v>43133</v>
      </c>
      <c r="N23" s="5">
        <v>17</v>
      </c>
      <c r="O23" s="5" t="str">
        <f>"010775"</f>
        <v>010775</v>
      </c>
      <c r="P23" s="4">
        <v>43183</v>
      </c>
      <c r="Q23" s="7">
        <v>2.8395000000000001</v>
      </c>
      <c r="R23" s="7">
        <v>0.1595</v>
      </c>
      <c r="S23" s="7">
        <v>2.68</v>
      </c>
      <c r="T23" s="5">
        <v>105</v>
      </c>
      <c r="U23" s="4">
        <v>43283</v>
      </c>
      <c r="V23" s="5">
        <v>8022975610</v>
      </c>
      <c r="W23" s="6" t="s">
        <v>126</v>
      </c>
      <c r="X23" s="5" t="s">
        <v>29</v>
      </c>
      <c r="Y23" s="6" t="s">
        <v>30</v>
      </c>
      <c r="Z23" s="5" t="s">
        <v>68</v>
      </c>
      <c r="AA23" s="6" t="s">
        <v>67</v>
      </c>
      <c r="AB23" s="7">
        <v>2.8395E-2</v>
      </c>
      <c r="AD23" s="8"/>
      <c r="AF23" s="8"/>
      <c r="AG23" s="8"/>
    </row>
    <row r="24" spans="1:33" x14ac:dyDescent="0.2">
      <c r="A24" s="12">
        <v>2799</v>
      </c>
      <c r="B24" s="13" t="s">
        <v>34</v>
      </c>
      <c r="C24" s="13">
        <v>43283</v>
      </c>
      <c r="D24" s="5">
        <v>35</v>
      </c>
      <c r="E24" s="6" t="s">
        <v>66</v>
      </c>
      <c r="F24" s="5" t="s">
        <v>149</v>
      </c>
      <c r="G24" s="6" t="s">
        <v>148</v>
      </c>
      <c r="H24" s="5" t="str">
        <f>"000182"</f>
        <v>000182</v>
      </c>
      <c r="I24" s="4">
        <v>43124</v>
      </c>
      <c r="J24" s="5" t="str">
        <f>"000034"</f>
        <v>000034</v>
      </c>
      <c r="K24" s="4">
        <v>43132</v>
      </c>
      <c r="L24" s="5" t="str">
        <f>"000084"</f>
        <v>000084</v>
      </c>
      <c r="M24" s="4">
        <v>43133</v>
      </c>
      <c r="N24" s="5">
        <v>17</v>
      </c>
      <c r="O24" s="5" t="str">
        <f>"010772"</f>
        <v>010772</v>
      </c>
      <c r="P24" s="4">
        <v>43183</v>
      </c>
      <c r="Q24" s="7">
        <v>2.9009999999999998</v>
      </c>
      <c r="R24" s="7">
        <v>0.161</v>
      </c>
      <c r="S24" s="7">
        <v>2.74</v>
      </c>
      <c r="T24" s="5">
        <v>105</v>
      </c>
      <c r="U24" s="4">
        <v>43283</v>
      </c>
      <c r="V24" s="5">
        <v>8022975610</v>
      </c>
      <c r="W24" s="6" t="s">
        <v>147</v>
      </c>
      <c r="X24" s="5" t="s">
        <v>29</v>
      </c>
      <c r="Y24" s="6" t="s">
        <v>30</v>
      </c>
      <c r="Z24" s="5" t="s">
        <v>68</v>
      </c>
      <c r="AA24" s="6" t="s">
        <v>67</v>
      </c>
      <c r="AB24" s="7">
        <v>2.9009999999999998E-2</v>
      </c>
      <c r="AD24" s="8"/>
      <c r="AF24" s="8"/>
      <c r="AG24" s="8"/>
    </row>
    <row r="25" spans="1:33" x14ac:dyDescent="0.2">
      <c r="A25" s="12">
        <v>2800</v>
      </c>
      <c r="B25" s="13" t="s">
        <v>34</v>
      </c>
      <c r="C25" s="13">
        <v>43283</v>
      </c>
      <c r="D25" s="5">
        <v>35</v>
      </c>
      <c r="E25" s="6" t="s">
        <v>66</v>
      </c>
      <c r="F25" s="5" t="s">
        <v>146</v>
      </c>
      <c r="G25" s="6" t="s">
        <v>145</v>
      </c>
      <c r="H25" s="5" t="str">
        <f>"000191"</f>
        <v>000191</v>
      </c>
      <c r="I25" s="4">
        <v>43124</v>
      </c>
      <c r="J25" s="5" t="str">
        <f>"000039"</f>
        <v>000039</v>
      </c>
      <c r="K25" s="4">
        <v>43132</v>
      </c>
      <c r="L25" s="5" t="str">
        <f>"000092"</f>
        <v>000092</v>
      </c>
      <c r="M25" s="4">
        <v>43133</v>
      </c>
      <c r="N25" s="5">
        <v>17</v>
      </c>
      <c r="O25" s="5" t="str">
        <f>"010767"</f>
        <v>010767</v>
      </c>
      <c r="P25" s="4">
        <v>43183</v>
      </c>
      <c r="Q25" s="7">
        <v>39.884700000000002</v>
      </c>
      <c r="R25" s="7">
        <v>2.2147000000000001</v>
      </c>
      <c r="S25" s="7">
        <v>37.67</v>
      </c>
      <c r="T25" s="5">
        <v>105</v>
      </c>
      <c r="U25" s="4">
        <v>43283</v>
      </c>
      <c r="V25" s="5">
        <v>8022975610</v>
      </c>
      <c r="W25" s="6" t="s">
        <v>144</v>
      </c>
      <c r="X25" s="5" t="s">
        <v>29</v>
      </c>
      <c r="Y25" s="6" t="s">
        <v>30</v>
      </c>
      <c r="Z25" s="5" t="s">
        <v>68</v>
      </c>
      <c r="AA25" s="6" t="s">
        <v>67</v>
      </c>
      <c r="AB25" s="7">
        <v>0.39884700000000001</v>
      </c>
      <c r="AD25" s="8"/>
      <c r="AF25" s="8"/>
      <c r="AG25" s="8"/>
    </row>
    <row r="26" spans="1:33" x14ac:dyDescent="0.2">
      <c r="A26" s="12">
        <v>2801</v>
      </c>
      <c r="B26" s="13" t="s">
        <v>34</v>
      </c>
      <c r="C26" s="13">
        <v>43283</v>
      </c>
      <c r="D26" s="5">
        <v>35</v>
      </c>
      <c r="E26" s="6" t="s">
        <v>66</v>
      </c>
      <c r="F26" s="5" t="s">
        <v>125</v>
      </c>
      <c r="G26" s="6" t="s">
        <v>124</v>
      </c>
      <c r="H26" s="5" t="str">
        <f>"000260"</f>
        <v>000260</v>
      </c>
      <c r="I26" s="4">
        <v>43173</v>
      </c>
      <c r="J26" s="5" t="str">
        <f>"000060"</f>
        <v>000060</v>
      </c>
      <c r="K26" s="4">
        <v>43185</v>
      </c>
      <c r="L26" s="5" t="str">
        <f>"000143"</f>
        <v>000143</v>
      </c>
      <c r="M26" s="4">
        <v>43187</v>
      </c>
      <c r="N26" s="5">
        <v>17</v>
      </c>
      <c r="O26" s="5" t="str">
        <f>"003150"</f>
        <v>003150</v>
      </c>
      <c r="P26" s="4">
        <v>43280</v>
      </c>
      <c r="Q26" s="7">
        <v>10.272</v>
      </c>
      <c r="R26" s="7">
        <v>1.0271999999999999</v>
      </c>
      <c r="S26" s="7">
        <v>9.2447999999999997</v>
      </c>
      <c r="T26" s="5">
        <v>105</v>
      </c>
      <c r="U26" s="4">
        <v>43283</v>
      </c>
      <c r="V26" s="5">
        <v>7204703649</v>
      </c>
      <c r="W26" s="6" t="s">
        <v>143</v>
      </c>
      <c r="X26" s="5" t="s">
        <v>29</v>
      </c>
      <c r="Y26" s="6" t="s">
        <v>30</v>
      </c>
      <c r="Z26" s="5" t="s">
        <v>68</v>
      </c>
      <c r="AA26" s="6" t="s">
        <v>67</v>
      </c>
      <c r="AB26" s="7">
        <v>0.10272000000000001</v>
      </c>
      <c r="AD26" s="8"/>
      <c r="AF26" s="8"/>
      <c r="AG26" s="8"/>
    </row>
    <row r="27" spans="1:33" x14ac:dyDescent="0.2">
      <c r="A27" s="12">
        <v>2802</v>
      </c>
      <c r="B27" s="13" t="s">
        <v>34</v>
      </c>
      <c r="C27" s="13">
        <v>43283</v>
      </c>
      <c r="D27" s="5">
        <v>35</v>
      </c>
      <c r="E27" s="6" t="s">
        <v>66</v>
      </c>
      <c r="F27" s="5" t="s">
        <v>142</v>
      </c>
      <c r="G27" s="6" t="s">
        <v>141</v>
      </c>
      <c r="H27" s="5" t="str">
        <f>"000181"</f>
        <v>000181</v>
      </c>
      <c r="I27" s="4">
        <v>43124</v>
      </c>
      <c r="J27" s="5" t="str">
        <f>"000033"</f>
        <v>000033</v>
      </c>
      <c r="K27" s="4">
        <v>43132</v>
      </c>
      <c r="L27" s="5" t="str">
        <f>"000083"</f>
        <v>000083</v>
      </c>
      <c r="M27" s="4">
        <v>43133</v>
      </c>
      <c r="N27" s="5">
        <v>17</v>
      </c>
      <c r="O27" s="5" t="str">
        <f>"010765"</f>
        <v>010765</v>
      </c>
      <c r="P27" s="4">
        <v>43183</v>
      </c>
      <c r="Q27" s="7">
        <v>2.3897900000000001</v>
      </c>
      <c r="R27" s="7">
        <v>0.13478999999999999</v>
      </c>
      <c r="S27" s="7">
        <v>2.2549999999999999</v>
      </c>
      <c r="T27" s="5">
        <v>105</v>
      </c>
      <c r="U27" s="4">
        <v>43283</v>
      </c>
      <c r="V27" s="5">
        <v>8022975610</v>
      </c>
      <c r="W27" s="6" t="s">
        <v>140</v>
      </c>
      <c r="X27" s="5" t="s">
        <v>29</v>
      </c>
      <c r="Y27" s="6" t="s">
        <v>30</v>
      </c>
      <c r="Z27" s="5" t="s">
        <v>68</v>
      </c>
      <c r="AA27" s="6" t="s">
        <v>67</v>
      </c>
      <c r="AB27" s="7">
        <v>2.38979E-2</v>
      </c>
      <c r="AD27" s="8"/>
      <c r="AF27" s="8"/>
      <c r="AG27" s="8"/>
    </row>
    <row r="28" spans="1:33" x14ac:dyDescent="0.2">
      <c r="A28" s="12">
        <v>2803</v>
      </c>
      <c r="B28" s="13" t="s">
        <v>34</v>
      </c>
      <c r="C28" s="13">
        <v>43283</v>
      </c>
      <c r="D28" s="5">
        <v>35</v>
      </c>
      <c r="E28" s="6" t="s">
        <v>66</v>
      </c>
      <c r="F28" s="5" t="s">
        <v>139</v>
      </c>
      <c r="G28" s="6" t="s">
        <v>138</v>
      </c>
      <c r="H28" s="5" t="str">
        <f>"000184"</f>
        <v>000184</v>
      </c>
      <c r="I28" s="4">
        <v>43124</v>
      </c>
      <c r="J28" s="5" t="str">
        <f>"000035"</f>
        <v>000035</v>
      </c>
      <c r="K28" s="4">
        <v>43132</v>
      </c>
      <c r="L28" s="5" t="str">
        <f>"000085"</f>
        <v>000085</v>
      </c>
      <c r="M28" s="4">
        <v>43133</v>
      </c>
      <c r="N28" s="5">
        <v>17</v>
      </c>
      <c r="O28" s="5" t="str">
        <f>"010766"</f>
        <v>010766</v>
      </c>
      <c r="P28" s="4">
        <v>43183</v>
      </c>
      <c r="Q28" s="7">
        <v>1.33056</v>
      </c>
      <c r="R28" s="7">
        <v>8.0560000000000007E-2</v>
      </c>
      <c r="S28" s="7">
        <v>1.25</v>
      </c>
      <c r="T28" s="5">
        <v>105</v>
      </c>
      <c r="U28" s="4">
        <v>43283</v>
      </c>
      <c r="V28" s="5">
        <v>8022975610</v>
      </c>
      <c r="W28" s="6" t="s">
        <v>129</v>
      </c>
      <c r="X28" s="5" t="s">
        <v>29</v>
      </c>
      <c r="Y28" s="6" t="s">
        <v>30</v>
      </c>
      <c r="Z28" s="5" t="s">
        <v>68</v>
      </c>
      <c r="AA28" s="6" t="s">
        <v>67</v>
      </c>
      <c r="AB28" s="7">
        <v>1.3305599999999999E-2</v>
      </c>
      <c r="AD28" s="8"/>
      <c r="AF28" s="8"/>
      <c r="AG28" s="8"/>
    </row>
    <row r="29" spans="1:33" x14ac:dyDescent="0.2">
      <c r="A29" s="12">
        <v>2804</v>
      </c>
      <c r="B29" s="13" t="s">
        <v>34</v>
      </c>
      <c r="C29" s="13">
        <v>43283</v>
      </c>
      <c r="D29" s="5">
        <v>35</v>
      </c>
      <c r="E29" s="6" t="s">
        <v>66</v>
      </c>
      <c r="F29" s="5" t="s">
        <v>137</v>
      </c>
      <c r="G29" s="6" t="s">
        <v>136</v>
      </c>
      <c r="H29" s="5" t="str">
        <f>"000185"</f>
        <v>000185</v>
      </c>
      <c r="I29" s="4">
        <v>43124</v>
      </c>
      <c r="J29" s="5" t="str">
        <f>"000036"</f>
        <v>000036</v>
      </c>
      <c r="K29" s="4">
        <v>43132</v>
      </c>
      <c r="L29" s="5" t="str">
        <f>"000086"</f>
        <v>000086</v>
      </c>
      <c r="M29" s="4">
        <v>43133</v>
      </c>
      <c r="N29" s="5">
        <v>17</v>
      </c>
      <c r="O29" s="5" t="str">
        <f>"010773"</f>
        <v>010773</v>
      </c>
      <c r="P29" s="4">
        <v>43183</v>
      </c>
      <c r="Q29" s="7">
        <v>2.0850599999999999</v>
      </c>
      <c r="R29" s="7">
        <v>0.12506</v>
      </c>
      <c r="S29" s="7">
        <v>1.96</v>
      </c>
      <c r="T29" s="5">
        <v>105</v>
      </c>
      <c r="U29" s="4">
        <v>43283</v>
      </c>
      <c r="V29" s="5">
        <v>8022975610</v>
      </c>
      <c r="W29" s="6" t="s">
        <v>126</v>
      </c>
      <c r="X29" s="5" t="s">
        <v>29</v>
      </c>
      <c r="Y29" s="6" t="s">
        <v>30</v>
      </c>
      <c r="Z29" s="5" t="s">
        <v>68</v>
      </c>
      <c r="AA29" s="6" t="s">
        <v>67</v>
      </c>
      <c r="AB29" s="7">
        <v>2.08506E-2</v>
      </c>
      <c r="AD29" s="8"/>
      <c r="AF29" s="8"/>
      <c r="AG29" s="8"/>
    </row>
    <row r="30" spans="1:33" x14ac:dyDescent="0.2">
      <c r="A30" s="12">
        <v>2805</v>
      </c>
      <c r="B30" s="13" t="s">
        <v>34</v>
      </c>
      <c r="C30" s="13">
        <v>43283</v>
      </c>
      <c r="D30" s="5">
        <v>35</v>
      </c>
      <c r="E30" s="6" t="s">
        <v>66</v>
      </c>
      <c r="F30" s="5" t="s">
        <v>135</v>
      </c>
      <c r="G30" s="6" t="s">
        <v>134</v>
      </c>
      <c r="H30" s="5" t="str">
        <f>"000235"</f>
        <v>000235</v>
      </c>
      <c r="I30" s="4">
        <v>43154</v>
      </c>
      <c r="J30" s="5" t="str">
        <f>"000047"</f>
        <v>000047</v>
      </c>
      <c r="K30" s="4">
        <v>43155</v>
      </c>
      <c r="L30" s="5" t="str">
        <f>"000124"</f>
        <v>000124</v>
      </c>
      <c r="M30" s="4">
        <v>43162</v>
      </c>
      <c r="N30" s="5">
        <v>17</v>
      </c>
      <c r="O30" s="5" t="str">
        <f>"000213"</f>
        <v>000213</v>
      </c>
      <c r="P30" s="4">
        <v>43194</v>
      </c>
      <c r="Q30" s="7">
        <v>64.278369999999995</v>
      </c>
      <c r="R30" s="7">
        <v>3.5783700000000001</v>
      </c>
      <c r="S30" s="7">
        <v>60.7</v>
      </c>
      <c r="T30" s="5">
        <v>105</v>
      </c>
      <c r="U30" s="4">
        <v>43283</v>
      </c>
      <c r="V30" s="5">
        <v>8022975610</v>
      </c>
      <c r="W30" s="6" t="s">
        <v>126</v>
      </c>
      <c r="X30" s="5" t="s">
        <v>29</v>
      </c>
      <c r="Y30" s="6" t="s">
        <v>30</v>
      </c>
      <c r="Z30" s="5" t="s">
        <v>68</v>
      </c>
      <c r="AA30" s="6" t="s">
        <v>67</v>
      </c>
      <c r="AB30" s="7">
        <v>0.64278369999999996</v>
      </c>
      <c r="AD30" s="8"/>
      <c r="AF30" s="8"/>
      <c r="AG30" s="8"/>
    </row>
    <row r="31" spans="1:33" x14ac:dyDescent="0.2">
      <c r="A31" s="12">
        <v>2806</v>
      </c>
      <c r="B31" s="13" t="s">
        <v>34</v>
      </c>
      <c r="C31" s="13">
        <v>43283</v>
      </c>
      <c r="D31" s="5">
        <v>35</v>
      </c>
      <c r="E31" s="6" t="s">
        <v>66</v>
      </c>
      <c r="F31" s="5" t="s">
        <v>133</v>
      </c>
      <c r="G31" s="6" t="s">
        <v>132</v>
      </c>
      <c r="H31" s="5" t="str">
        <f>"000193"</f>
        <v>000193</v>
      </c>
      <c r="I31" s="4">
        <v>43124</v>
      </c>
      <c r="J31" s="5" t="str">
        <f>"000041"</f>
        <v>000041</v>
      </c>
      <c r="K31" s="4">
        <v>43132</v>
      </c>
      <c r="L31" s="5" t="str">
        <f>"000090"</f>
        <v>000090</v>
      </c>
      <c r="M31" s="4">
        <v>43133</v>
      </c>
      <c r="N31" s="5">
        <v>17</v>
      </c>
      <c r="O31" s="5" t="str">
        <f>"010769"</f>
        <v>010769</v>
      </c>
      <c r="P31" s="4">
        <v>43183</v>
      </c>
      <c r="Q31" s="7">
        <v>0.61919999999999997</v>
      </c>
      <c r="R31" s="7">
        <v>3.9199999999999999E-2</v>
      </c>
      <c r="S31" s="7">
        <v>0.57999999999999996</v>
      </c>
      <c r="T31" s="5">
        <v>105</v>
      </c>
      <c r="U31" s="4">
        <v>43283</v>
      </c>
      <c r="V31" s="5">
        <v>8022975610</v>
      </c>
      <c r="W31" s="6" t="s">
        <v>129</v>
      </c>
      <c r="X31" s="5" t="s">
        <v>29</v>
      </c>
      <c r="Y31" s="6" t="s">
        <v>30</v>
      </c>
      <c r="Z31" s="5" t="s">
        <v>68</v>
      </c>
      <c r="AA31" s="6" t="s">
        <v>67</v>
      </c>
      <c r="AB31" s="7">
        <v>6.1919999999999996E-3</v>
      </c>
      <c r="AD31" s="8"/>
      <c r="AF31" s="8"/>
      <c r="AG31" s="8"/>
    </row>
    <row r="32" spans="1:33" x14ac:dyDescent="0.2">
      <c r="A32" s="12">
        <v>2807</v>
      </c>
      <c r="B32" s="13" t="s">
        <v>34</v>
      </c>
      <c r="C32" s="13">
        <v>43283</v>
      </c>
      <c r="D32" s="5">
        <v>35</v>
      </c>
      <c r="E32" s="6" t="s">
        <v>66</v>
      </c>
      <c r="F32" s="5" t="s">
        <v>131</v>
      </c>
      <c r="G32" s="6" t="s">
        <v>130</v>
      </c>
      <c r="H32" s="5" t="str">
        <f>"000194"</f>
        <v>000194</v>
      </c>
      <c r="I32" s="4">
        <v>43124</v>
      </c>
      <c r="J32" s="5" t="str">
        <f>"000042"</f>
        <v>000042</v>
      </c>
      <c r="K32" s="4">
        <v>43132</v>
      </c>
      <c r="L32" s="5" t="str">
        <f>"000089"</f>
        <v>000089</v>
      </c>
      <c r="M32" s="4">
        <v>43133</v>
      </c>
      <c r="N32" s="5">
        <v>17</v>
      </c>
      <c r="O32" s="5" t="str">
        <f>"010770"</f>
        <v>010770</v>
      </c>
      <c r="P32" s="4">
        <v>43183</v>
      </c>
      <c r="Q32" s="7">
        <v>0.29543999999999998</v>
      </c>
      <c r="R32" s="7">
        <v>1.8440000000000002E-2</v>
      </c>
      <c r="S32" s="7">
        <v>0.27700000000000002</v>
      </c>
      <c r="T32" s="5">
        <v>105</v>
      </c>
      <c r="U32" s="4">
        <v>43283</v>
      </c>
      <c r="V32" s="5">
        <v>8022975610</v>
      </c>
      <c r="W32" s="6" t="s">
        <v>129</v>
      </c>
      <c r="X32" s="5" t="s">
        <v>29</v>
      </c>
      <c r="Y32" s="6" t="s">
        <v>30</v>
      </c>
      <c r="Z32" s="5" t="s">
        <v>68</v>
      </c>
      <c r="AA32" s="6" t="s">
        <v>67</v>
      </c>
      <c r="AB32" s="7">
        <v>2.9543999999999998E-3</v>
      </c>
      <c r="AD32" s="8"/>
      <c r="AF32" s="8"/>
      <c r="AG32" s="8"/>
    </row>
    <row r="33" spans="1:33" x14ac:dyDescent="0.2">
      <c r="A33" s="12">
        <v>2808</v>
      </c>
      <c r="B33" s="13" t="s">
        <v>34</v>
      </c>
      <c r="C33" s="13">
        <v>43283</v>
      </c>
      <c r="D33" s="5">
        <v>35</v>
      </c>
      <c r="E33" s="6" t="s">
        <v>66</v>
      </c>
      <c r="F33" s="5" t="s">
        <v>128</v>
      </c>
      <c r="G33" s="6" t="s">
        <v>127</v>
      </c>
      <c r="H33" s="5" t="str">
        <f>"000195"</f>
        <v>000195</v>
      </c>
      <c r="I33" s="4">
        <v>43124</v>
      </c>
      <c r="J33" s="5" t="str">
        <f>"000043"</f>
        <v>000043</v>
      </c>
      <c r="K33" s="4">
        <v>43132</v>
      </c>
      <c r="L33" s="5" t="str">
        <f>"000087"</f>
        <v>000087</v>
      </c>
      <c r="M33" s="4">
        <v>43133</v>
      </c>
      <c r="N33" s="5">
        <v>17</v>
      </c>
      <c r="O33" s="5" t="str">
        <f>"010771"</f>
        <v>010771</v>
      </c>
      <c r="P33" s="4">
        <v>43183</v>
      </c>
      <c r="Q33" s="7">
        <v>11.39883</v>
      </c>
      <c r="R33" s="7">
        <v>0.65883000000000003</v>
      </c>
      <c r="S33" s="7">
        <v>10.74</v>
      </c>
      <c r="T33" s="5">
        <v>105</v>
      </c>
      <c r="U33" s="4">
        <v>43283</v>
      </c>
      <c r="V33" s="5">
        <v>8022975610</v>
      </c>
      <c r="W33" s="6" t="s">
        <v>126</v>
      </c>
      <c r="X33" s="5" t="s">
        <v>29</v>
      </c>
      <c r="Y33" s="6" t="s">
        <v>30</v>
      </c>
      <c r="Z33" s="5" t="s">
        <v>68</v>
      </c>
      <c r="AA33" s="6" t="s">
        <v>67</v>
      </c>
      <c r="AB33" s="7">
        <v>0.1139883</v>
      </c>
      <c r="AD33" s="8"/>
      <c r="AF33" s="8"/>
      <c r="AG33" s="8"/>
    </row>
    <row r="34" spans="1:33" x14ac:dyDescent="0.2">
      <c r="A34" s="12">
        <v>2809</v>
      </c>
      <c r="B34" s="13" t="s">
        <v>34</v>
      </c>
      <c r="C34" s="13">
        <v>43283</v>
      </c>
      <c r="D34" s="5">
        <v>35</v>
      </c>
      <c r="E34" s="6" t="s">
        <v>66</v>
      </c>
      <c r="F34" s="5" t="s">
        <v>125</v>
      </c>
      <c r="G34" s="6" t="s">
        <v>124</v>
      </c>
      <c r="H34" s="5" t="str">
        <f>"000260"</f>
        <v>000260</v>
      </c>
      <c r="I34" s="4">
        <v>43173</v>
      </c>
      <c r="J34" s="5" t="str">
        <f>"000060"</f>
        <v>000060</v>
      </c>
      <c r="K34" s="4">
        <v>43185</v>
      </c>
      <c r="L34" s="5" t="str">
        <f>"000143"</f>
        <v>000143</v>
      </c>
      <c r="M34" s="4">
        <v>43187</v>
      </c>
      <c r="N34" s="5">
        <v>17</v>
      </c>
      <c r="O34" s="5" t="str">
        <f>"003150"</f>
        <v>003150</v>
      </c>
      <c r="P34" s="4">
        <v>43280</v>
      </c>
      <c r="Q34" s="7">
        <v>61.965490000000003</v>
      </c>
      <c r="R34" s="7">
        <v>3.4354900000000002</v>
      </c>
      <c r="S34" s="7">
        <v>58.53</v>
      </c>
      <c r="T34" s="5">
        <v>105</v>
      </c>
      <c r="U34" s="4">
        <v>43283</v>
      </c>
      <c r="V34" s="5">
        <v>8022975610</v>
      </c>
      <c r="W34" s="6" t="s">
        <v>123</v>
      </c>
      <c r="X34" s="5" t="s">
        <v>29</v>
      </c>
      <c r="Y34" s="6" t="s">
        <v>30</v>
      </c>
      <c r="Z34" s="5" t="s">
        <v>68</v>
      </c>
      <c r="AA34" s="6" t="s">
        <v>67</v>
      </c>
      <c r="AB34" s="7">
        <v>0.61965490000000001</v>
      </c>
      <c r="AD34" s="8"/>
      <c r="AF34" s="8"/>
      <c r="AG34" s="8"/>
    </row>
    <row r="35" spans="1:33" x14ac:dyDescent="0.2">
      <c r="A35" s="12">
        <v>3811</v>
      </c>
      <c r="B35" s="13" t="s">
        <v>34</v>
      </c>
      <c r="C35" s="13">
        <v>43304</v>
      </c>
      <c r="D35" s="5">
        <v>35</v>
      </c>
      <c r="E35" s="6" t="s">
        <v>66</v>
      </c>
      <c r="F35" s="5" t="s">
        <v>122</v>
      </c>
      <c r="G35" s="6" t="s">
        <v>121</v>
      </c>
      <c r="H35" s="5" t="str">
        <f>"000073"</f>
        <v>000073</v>
      </c>
      <c r="I35" s="4">
        <v>43246</v>
      </c>
      <c r="J35" s="5" t="str">
        <f>"000058"</f>
        <v>000058</v>
      </c>
      <c r="K35" s="4">
        <v>43249</v>
      </c>
      <c r="L35" s="5" t="str">
        <f>"000014"</f>
        <v>000014</v>
      </c>
      <c r="M35" s="4">
        <v>43249</v>
      </c>
      <c r="N35" s="5">
        <v>17</v>
      </c>
      <c r="O35" s="5" t="str">
        <f>"003998"</f>
        <v>003998</v>
      </c>
      <c r="P35" s="4">
        <v>43300</v>
      </c>
      <c r="Q35" s="7">
        <v>11.95396</v>
      </c>
      <c r="R35" s="7">
        <v>0.60965000000000003</v>
      </c>
      <c r="S35" s="7">
        <v>11.34431</v>
      </c>
      <c r="T35" s="5">
        <v>137</v>
      </c>
      <c r="U35" s="4">
        <v>43304</v>
      </c>
      <c r="V35" s="5">
        <v>8022975610</v>
      </c>
      <c r="W35" s="6" t="s">
        <v>120</v>
      </c>
      <c r="X35" s="5" t="s">
        <v>44</v>
      </c>
      <c r="Y35" s="6" t="s">
        <v>45</v>
      </c>
      <c r="Z35" s="5" t="s">
        <v>68</v>
      </c>
      <c r="AA35" s="6" t="s">
        <v>67</v>
      </c>
      <c r="AB35" s="7">
        <v>0.11953960000000001</v>
      </c>
      <c r="AD35" s="8"/>
      <c r="AF35" s="8"/>
      <c r="AG35" s="8"/>
    </row>
    <row r="36" spans="1:33" x14ac:dyDescent="0.2">
      <c r="A36" s="12">
        <v>4080</v>
      </c>
      <c r="B36" s="13" t="s">
        <v>34</v>
      </c>
      <c r="C36" s="13">
        <v>43308</v>
      </c>
      <c r="D36" s="5">
        <v>35</v>
      </c>
      <c r="E36" s="6" t="s">
        <v>66</v>
      </c>
      <c r="F36" s="5" t="s">
        <v>119</v>
      </c>
      <c r="G36" s="6" t="s">
        <v>118</v>
      </c>
      <c r="H36" s="5" t="str">
        <f>"000009"</f>
        <v>000009</v>
      </c>
      <c r="I36" s="4">
        <v>43201</v>
      </c>
      <c r="J36" s="5" t="str">
        <f>"000082"</f>
        <v>000082</v>
      </c>
      <c r="K36" s="4">
        <v>43270</v>
      </c>
      <c r="L36" s="5" t="str">
        <f>"000092"</f>
        <v>000092</v>
      </c>
      <c r="M36" s="4">
        <v>43276</v>
      </c>
      <c r="N36" s="5">
        <v>18</v>
      </c>
      <c r="O36" s="5" t="str">
        <f>"004407"</f>
        <v>004407</v>
      </c>
      <c r="P36" s="4">
        <v>43306</v>
      </c>
      <c r="Q36" s="7">
        <v>19.93638</v>
      </c>
      <c r="R36" s="7">
        <v>2.0563799999999999</v>
      </c>
      <c r="S36" s="7">
        <v>17.88</v>
      </c>
      <c r="T36" s="5">
        <v>145</v>
      </c>
      <c r="U36" s="4">
        <v>43308</v>
      </c>
      <c r="V36" s="5">
        <v>8022975610</v>
      </c>
      <c r="W36" s="6" t="s">
        <v>78</v>
      </c>
      <c r="X36" s="5" t="s">
        <v>42</v>
      </c>
      <c r="Y36" s="6" t="s">
        <v>43</v>
      </c>
      <c r="Z36" s="5" t="s">
        <v>68</v>
      </c>
      <c r="AA36" s="6" t="s">
        <v>67</v>
      </c>
      <c r="AB36" s="7">
        <v>0.19936380000000001</v>
      </c>
      <c r="AD36" s="8"/>
      <c r="AF36" s="8"/>
      <c r="AG36" s="8"/>
    </row>
    <row r="37" spans="1:33" x14ac:dyDescent="0.2">
      <c r="A37" s="12">
        <v>4081</v>
      </c>
      <c r="B37" s="13" t="s">
        <v>34</v>
      </c>
      <c r="C37" s="13">
        <v>43308</v>
      </c>
      <c r="D37" s="5">
        <v>35</v>
      </c>
      <c r="E37" s="6" t="s">
        <v>66</v>
      </c>
      <c r="F37" s="5" t="s">
        <v>117</v>
      </c>
      <c r="G37" s="6" t="s">
        <v>116</v>
      </c>
      <c r="H37" s="5" t="str">
        <f>"000011"</f>
        <v>000011</v>
      </c>
      <c r="I37" s="4">
        <v>43201</v>
      </c>
      <c r="J37" s="5" t="str">
        <f>"000084"</f>
        <v>000084</v>
      </c>
      <c r="K37" s="4">
        <v>43271</v>
      </c>
      <c r="L37" s="5" t="str">
        <f>"000091"</f>
        <v>000091</v>
      </c>
      <c r="M37" s="4">
        <v>43276</v>
      </c>
      <c r="N37" s="5">
        <v>18</v>
      </c>
      <c r="O37" s="5" t="str">
        <f>"004408"</f>
        <v>004408</v>
      </c>
      <c r="P37" s="4">
        <v>43306</v>
      </c>
      <c r="Q37" s="7">
        <v>19.901579999999999</v>
      </c>
      <c r="R37" s="7">
        <v>2.0615800000000002</v>
      </c>
      <c r="S37" s="7">
        <v>17.84</v>
      </c>
      <c r="T37" s="5">
        <v>145</v>
      </c>
      <c r="U37" s="4">
        <v>43308</v>
      </c>
      <c r="V37" s="5">
        <v>8022975610</v>
      </c>
      <c r="W37" s="6" t="s">
        <v>78</v>
      </c>
      <c r="X37" s="5" t="s">
        <v>42</v>
      </c>
      <c r="Y37" s="6" t="s">
        <v>43</v>
      </c>
      <c r="Z37" s="5" t="s">
        <v>68</v>
      </c>
      <c r="AA37" s="6" t="s">
        <v>67</v>
      </c>
      <c r="AB37" s="7">
        <v>0.19901579999999999</v>
      </c>
      <c r="AD37" s="8"/>
      <c r="AF37" s="8"/>
      <c r="AG37" s="8"/>
    </row>
    <row r="38" spans="1:33" x14ac:dyDescent="0.2">
      <c r="A38" s="12">
        <v>4337</v>
      </c>
      <c r="B38" s="13" t="s">
        <v>31</v>
      </c>
      <c r="C38" s="13">
        <v>43316</v>
      </c>
      <c r="D38" s="5">
        <v>35</v>
      </c>
      <c r="E38" s="6" t="s">
        <v>66</v>
      </c>
      <c r="F38" s="5" t="s">
        <v>114</v>
      </c>
      <c r="G38" s="6" t="s">
        <v>113</v>
      </c>
      <c r="H38" s="5" t="str">
        <f>"000003"</f>
        <v>000003</v>
      </c>
      <c r="I38" s="4">
        <v>41597</v>
      </c>
      <c r="J38" s="5" t="str">
        <f>"000003"</f>
        <v>000003</v>
      </c>
      <c r="K38" s="4">
        <v>43242</v>
      </c>
      <c r="L38" s="5" t="str">
        <f>"000025"</f>
        <v>000025</v>
      </c>
      <c r="M38" s="4">
        <v>43242</v>
      </c>
      <c r="N38" s="5">
        <v>14</v>
      </c>
      <c r="O38" s="5" t="str">
        <f>"004772"</f>
        <v>004772</v>
      </c>
      <c r="P38" s="4">
        <v>43314</v>
      </c>
      <c r="Q38" s="7">
        <v>1.87182</v>
      </c>
      <c r="R38" s="7">
        <v>0.18720000000000001</v>
      </c>
      <c r="S38" s="7">
        <v>1.68462</v>
      </c>
      <c r="T38" s="5">
        <v>156</v>
      </c>
      <c r="U38" s="4">
        <v>43316</v>
      </c>
      <c r="V38" s="5">
        <v>9686691113</v>
      </c>
      <c r="W38" s="6" t="s">
        <v>115</v>
      </c>
      <c r="X38" s="5" t="s">
        <v>111</v>
      </c>
      <c r="Y38" s="6" t="s">
        <v>110</v>
      </c>
      <c r="Z38" s="5" t="s">
        <v>59</v>
      </c>
      <c r="AA38" s="6" t="s">
        <v>58</v>
      </c>
      <c r="AB38" s="7">
        <v>1.8718200000000001E-2</v>
      </c>
      <c r="AD38" s="8"/>
      <c r="AF38" s="8"/>
      <c r="AG38" s="8"/>
    </row>
    <row r="39" spans="1:33" x14ac:dyDescent="0.2">
      <c r="A39" s="12">
        <v>4338</v>
      </c>
      <c r="B39" s="13" t="s">
        <v>31</v>
      </c>
      <c r="C39" s="13">
        <v>43316</v>
      </c>
      <c r="D39" s="5">
        <v>35</v>
      </c>
      <c r="E39" s="6" t="s">
        <v>66</v>
      </c>
      <c r="F39" s="5" t="s">
        <v>114</v>
      </c>
      <c r="G39" s="6" t="s">
        <v>113</v>
      </c>
      <c r="H39" s="5" t="str">
        <f>"000003"</f>
        <v>000003</v>
      </c>
      <c r="I39" s="4">
        <v>41597</v>
      </c>
      <c r="J39" s="5" t="str">
        <f>"000003"</f>
        <v>000003</v>
      </c>
      <c r="K39" s="4">
        <v>43242</v>
      </c>
      <c r="L39" s="5" t="str">
        <f>"000025"</f>
        <v>000025</v>
      </c>
      <c r="M39" s="4">
        <v>43242</v>
      </c>
      <c r="N39" s="5">
        <v>14</v>
      </c>
      <c r="O39" s="5" t="str">
        <f>"004772"</f>
        <v>004772</v>
      </c>
      <c r="P39" s="4">
        <v>43314</v>
      </c>
      <c r="Q39" s="7">
        <v>16.2134</v>
      </c>
      <c r="R39" s="7">
        <v>0.50270000000000004</v>
      </c>
      <c r="S39" s="7">
        <v>15.710699999999999</v>
      </c>
      <c r="T39" s="5">
        <v>156</v>
      </c>
      <c r="U39" s="4">
        <v>43316</v>
      </c>
      <c r="V39" s="5">
        <v>9900021999</v>
      </c>
      <c r="W39" s="6" t="s">
        <v>112</v>
      </c>
      <c r="X39" s="5" t="s">
        <v>111</v>
      </c>
      <c r="Y39" s="6" t="s">
        <v>110</v>
      </c>
      <c r="Z39" s="5" t="s">
        <v>59</v>
      </c>
      <c r="AA39" s="6" t="s">
        <v>58</v>
      </c>
      <c r="AB39" s="7">
        <v>0.162134</v>
      </c>
      <c r="AD39" s="8"/>
      <c r="AF39" s="8"/>
      <c r="AG39" s="8"/>
    </row>
    <row r="40" spans="1:33" x14ac:dyDescent="0.2">
      <c r="A40" s="12">
        <v>4400</v>
      </c>
      <c r="B40" s="13" t="s">
        <v>31</v>
      </c>
      <c r="C40" s="13">
        <v>43318</v>
      </c>
      <c r="D40" s="5">
        <v>35</v>
      </c>
      <c r="E40" s="6" t="s">
        <v>66</v>
      </c>
      <c r="F40" s="5" t="s">
        <v>109</v>
      </c>
      <c r="G40" s="6" t="s">
        <v>108</v>
      </c>
      <c r="H40" s="5" t="str">
        <f>"000010"</f>
        <v>000010</v>
      </c>
      <c r="I40" s="4">
        <v>42931</v>
      </c>
      <c r="J40" s="5" t="str">
        <f>"000081"</f>
        <v>000081</v>
      </c>
      <c r="K40" s="4">
        <v>43140</v>
      </c>
      <c r="L40" s="5" t="str">
        <f>"000109"</f>
        <v>000109</v>
      </c>
      <c r="M40" s="4">
        <v>43140</v>
      </c>
      <c r="N40" s="5">
        <v>16</v>
      </c>
      <c r="O40" s="5" t="str">
        <f>"004607"</f>
        <v>004607</v>
      </c>
      <c r="P40" s="4">
        <v>43313</v>
      </c>
      <c r="Q40" s="7">
        <v>14.42803</v>
      </c>
      <c r="R40" s="7">
        <v>1.45723</v>
      </c>
      <c r="S40" s="7">
        <v>12.970800000000001</v>
      </c>
      <c r="T40" s="5">
        <v>157</v>
      </c>
      <c r="U40" s="4">
        <v>43318</v>
      </c>
      <c r="V40" s="5">
        <v>9845267052</v>
      </c>
      <c r="W40" s="6" t="s">
        <v>60</v>
      </c>
      <c r="X40" s="5" t="s">
        <v>35</v>
      </c>
      <c r="Y40" s="6" t="s">
        <v>36</v>
      </c>
      <c r="Z40" s="5" t="s">
        <v>62</v>
      </c>
      <c r="AA40" s="6" t="s">
        <v>61</v>
      </c>
      <c r="AB40" s="7">
        <v>0.1442803</v>
      </c>
      <c r="AD40" s="8"/>
      <c r="AF40" s="8"/>
      <c r="AG40" s="8"/>
    </row>
    <row r="41" spans="1:33" x14ac:dyDescent="0.2">
      <c r="A41" s="12">
        <v>5201</v>
      </c>
      <c r="B41" s="13" t="s">
        <v>39</v>
      </c>
      <c r="C41" s="13">
        <v>43346</v>
      </c>
      <c r="D41" s="5">
        <v>35</v>
      </c>
      <c r="E41" s="6" t="s">
        <v>66</v>
      </c>
      <c r="F41" s="5" t="s">
        <v>107</v>
      </c>
      <c r="G41" s="6" t="s">
        <v>106</v>
      </c>
      <c r="H41" s="5" t="str">
        <f>"000114"</f>
        <v>000114</v>
      </c>
      <c r="I41" s="4">
        <v>43286</v>
      </c>
      <c r="J41" s="5" t="str">
        <f>"000096"</f>
        <v>000096</v>
      </c>
      <c r="K41" s="4">
        <v>43301</v>
      </c>
      <c r="L41" s="5" t="str">
        <f>"000128"</f>
        <v>000128</v>
      </c>
      <c r="M41" s="4">
        <v>43318</v>
      </c>
      <c r="N41" s="5">
        <v>18</v>
      </c>
      <c r="O41" s="5" t="str">
        <f>"005584"</f>
        <v>005584</v>
      </c>
      <c r="P41" s="4">
        <v>43343</v>
      </c>
      <c r="Q41" s="7">
        <v>34.991680000000002</v>
      </c>
      <c r="R41" s="7">
        <v>3.50074</v>
      </c>
      <c r="S41" s="7">
        <v>31.490939999999998</v>
      </c>
      <c r="T41" s="5">
        <v>186</v>
      </c>
      <c r="U41" s="4">
        <v>43346</v>
      </c>
      <c r="V41" s="5">
        <v>8022975610</v>
      </c>
      <c r="W41" s="6" t="s">
        <v>78</v>
      </c>
      <c r="X41" s="5" t="s">
        <v>46</v>
      </c>
      <c r="Y41" s="6" t="s">
        <v>47</v>
      </c>
      <c r="Z41" s="5" t="s">
        <v>68</v>
      </c>
      <c r="AA41" s="6" t="s">
        <v>67</v>
      </c>
      <c r="AB41" s="7">
        <f>Q41/100</f>
        <v>0.34991680000000003</v>
      </c>
      <c r="AD41" s="8"/>
      <c r="AF41" s="8"/>
      <c r="AG41" s="8"/>
    </row>
    <row r="42" spans="1:33" x14ac:dyDescent="0.2">
      <c r="A42" s="12">
        <v>5202</v>
      </c>
      <c r="B42" s="13" t="s">
        <v>39</v>
      </c>
      <c r="C42" s="13">
        <v>43346</v>
      </c>
      <c r="D42" s="5">
        <v>35</v>
      </c>
      <c r="E42" s="6" t="s">
        <v>66</v>
      </c>
      <c r="F42" s="5" t="s">
        <v>105</v>
      </c>
      <c r="G42" s="6" t="s">
        <v>104</v>
      </c>
      <c r="H42" s="5" t="str">
        <f>"000113"</f>
        <v>000113</v>
      </c>
      <c r="I42" s="4">
        <v>43286</v>
      </c>
      <c r="J42" s="5" t="str">
        <f>"000092"</f>
        <v>000092</v>
      </c>
      <c r="K42" s="4">
        <v>43297</v>
      </c>
      <c r="L42" s="5" t="str">
        <f>"000125"</f>
        <v>000125</v>
      </c>
      <c r="M42" s="4">
        <v>43318</v>
      </c>
      <c r="N42" s="5">
        <v>18</v>
      </c>
      <c r="O42" s="5" t="str">
        <f>"005585"</f>
        <v>005585</v>
      </c>
      <c r="P42" s="4">
        <v>43343</v>
      </c>
      <c r="Q42" s="7">
        <v>39.974539999999998</v>
      </c>
      <c r="R42" s="7">
        <v>3.9045399999999999</v>
      </c>
      <c r="S42" s="7">
        <v>36.07</v>
      </c>
      <c r="T42" s="5">
        <v>186</v>
      </c>
      <c r="U42" s="4">
        <v>43346</v>
      </c>
      <c r="V42" s="5">
        <v>8022975610</v>
      </c>
      <c r="W42" s="6" t="s">
        <v>78</v>
      </c>
      <c r="X42" s="5" t="s">
        <v>46</v>
      </c>
      <c r="Y42" s="6" t="s">
        <v>47</v>
      </c>
      <c r="Z42" s="5" t="s">
        <v>68</v>
      </c>
      <c r="AA42" s="6" t="s">
        <v>67</v>
      </c>
      <c r="AB42" s="7">
        <f>Q42/100</f>
        <v>0.39974539999999997</v>
      </c>
      <c r="AD42" s="8"/>
      <c r="AF42" s="8"/>
      <c r="AG42" s="8"/>
    </row>
    <row r="43" spans="1:33" x14ac:dyDescent="0.2">
      <c r="A43" s="12">
        <v>5203</v>
      </c>
      <c r="B43" s="13" t="s">
        <v>39</v>
      </c>
      <c r="C43" s="13">
        <v>43346</v>
      </c>
      <c r="D43" s="5">
        <v>35</v>
      </c>
      <c r="E43" s="6" t="s">
        <v>66</v>
      </c>
      <c r="F43" s="5" t="s">
        <v>103</v>
      </c>
      <c r="G43" s="6" t="s">
        <v>102</v>
      </c>
      <c r="H43" s="5" t="str">
        <f>"000111"</f>
        <v>000111</v>
      </c>
      <c r="I43" s="4">
        <v>43285</v>
      </c>
      <c r="J43" s="5" t="str">
        <f>"000093"</f>
        <v>000093</v>
      </c>
      <c r="K43" s="4">
        <v>43297</v>
      </c>
      <c r="L43" s="5" t="str">
        <f>"000126"</f>
        <v>000126</v>
      </c>
      <c r="M43" s="4">
        <v>43318</v>
      </c>
      <c r="N43" s="5">
        <v>18</v>
      </c>
      <c r="O43" s="5" t="str">
        <f>"005586"</f>
        <v>005586</v>
      </c>
      <c r="P43" s="4">
        <v>43343</v>
      </c>
      <c r="Q43" s="7">
        <v>39.844769999999997</v>
      </c>
      <c r="R43" s="7">
        <v>3.8347699999999998</v>
      </c>
      <c r="S43" s="7">
        <v>36.01</v>
      </c>
      <c r="T43" s="5">
        <v>186</v>
      </c>
      <c r="U43" s="4">
        <v>43346</v>
      </c>
      <c r="V43" s="5">
        <v>8022975610</v>
      </c>
      <c r="W43" s="6" t="s">
        <v>99</v>
      </c>
      <c r="X43" s="5" t="s">
        <v>57</v>
      </c>
      <c r="Y43" s="6" t="s">
        <v>56</v>
      </c>
      <c r="Z43" s="5" t="s">
        <v>68</v>
      </c>
      <c r="AA43" s="6" t="s">
        <v>67</v>
      </c>
      <c r="AB43" s="7">
        <f>Q43/100</f>
        <v>0.39844769999999996</v>
      </c>
      <c r="AD43" s="8"/>
      <c r="AF43" s="8"/>
      <c r="AG43" s="8"/>
    </row>
    <row r="44" spans="1:33" x14ac:dyDescent="0.2">
      <c r="A44" s="12">
        <v>5204</v>
      </c>
      <c r="B44" s="13" t="s">
        <v>39</v>
      </c>
      <c r="C44" s="13">
        <v>43346</v>
      </c>
      <c r="D44" s="5">
        <v>35</v>
      </c>
      <c r="E44" s="6" t="s">
        <v>66</v>
      </c>
      <c r="F44" s="5" t="s">
        <v>101</v>
      </c>
      <c r="G44" s="6" t="s">
        <v>100</v>
      </c>
      <c r="H44" s="5" t="str">
        <f>"000112"</f>
        <v>000112</v>
      </c>
      <c r="I44" s="4">
        <v>43285</v>
      </c>
      <c r="J44" s="5" t="str">
        <f>"000095"</f>
        <v>000095</v>
      </c>
      <c r="K44" s="4">
        <v>43301</v>
      </c>
      <c r="L44" s="5" t="str">
        <f>"000127"</f>
        <v>000127</v>
      </c>
      <c r="M44" s="4">
        <v>43318</v>
      </c>
      <c r="N44" s="5">
        <v>18</v>
      </c>
      <c r="O44" s="5" t="str">
        <f>"005587"</f>
        <v>005587</v>
      </c>
      <c r="P44" s="4">
        <v>43343</v>
      </c>
      <c r="Q44" s="7">
        <v>27.921029999999998</v>
      </c>
      <c r="R44" s="7">
        <v>2.8360400000000001</v>
      </c>
      <c r="S44" s="7">
        <v>25.084990000000001</v>
      </c>
      <c r="T44" s="5">
        <v>186</v>
      </c>
      <c r="U44" s="4">
        <v>43346</v>
      </c>
      <c r="V44" s="5">
        <v>8022975610</v>
      </c>
      <c r="W44" s="6" t="s">
        <v>99</v>
      </c>
      <c r="X44" s="5" t="s">
        <v>46</v>
      </c>
      <c r="Y44" s="6" t="s">
        <v>47</v>
      </c>
      <c r="Z44" s="5" t="s">
        <v>68</v>
      </c>
      <c r="AA44" s="6" t="s">
        <v>67</v>
      </c>
      <c r="AB44" s="7">
        <f>Q44/100</f>
        <v>0.27921029999999997</v>
      </c>
      <c r="AD44" s="8"/>
      <c r="AF44" s="8"/>
      <c r="AG44" s="8"/>
    </row>
    <row r="45" spans="1:33" x14ac:dyDescent="0.2">
      <c r="A45" s="12">
        <v>5205</v>
      </c>
      <c r="B45" s="13" t="s">
        <v>39</v>
      </c>
      <c r="C45" s="13">
        <v>43346</v>
      </c>
      <c r="D45" s="5">
        <v>35</v>
      </c>
      <c r="E45" s="6" t="s">
        <v>66</v>
      </c>
      <c r="F45" s="5" t="s">
        <v>98</v>
      </c>
      <c r="G45" s="6" t="s">
        <v>97</v>
      </c>
      <c r="H45" s="5" t="str">
        <f>"000114"</f>
        <v>000114</v>
      </c>
      <c r="I45" s="4">
        <v>42800</v>
      </c>
      <c r="J45" s="5" t="str">
        <f>"000200"</f>
        <v>000200</v>
      </c>
      <c r="K45" s="4">
        <v>42825</v>
      </c>
      <c r="L45" s="5" t="str">
        <f>"000642"</f>
        <v>000642</v>
      </c>
      <c r="M45" s="4">
        <v>42825</v>
      </c>
      <c r="N45" s="5">
        <v>17</v>
      </c>
      <c r="O45" s="5" t="str">
        <f>"005312"</f>
        <v>005312</v>
      </c>
      <c r="P45" s="4">
        <v>43333</v>
      </c>
      <c r="Q45" s="7">
        <v>4.1347800000000001</v>
      </c>
      <c r="R45" s="7">
        <v>0.36477999999999999</v>
      </c>
      <c r="S45" s="7">
        <v>3.77</v>
      </c>
      <c r="T45" s="5">
        <v>193</v>
      </c>
      <c r="U45" s="4">
        <v>43346</v>
      </c>
      <c r="V45" s="5">
        <v>8022975610</v>
      </c>
      <c r="W45" s="6" t="s">
        <v>96</v>
      </c>
      <c r="X45" s="5" t="s">
        <v>32</v>
      </c>
      <c r="Y45" s="6" t="s">
        <v>33</v>
      </c>
      <c r="Z45" s="5" t="s">
        <v>68</v>
      </c>
      <c r="AA45" s="6" t="s">
        <v>67</v>
      </c>
      <c r="AB45" s="7">
        <f>Q45/100</f>
        <v>4.1347800000000004E-2</v>
      </c>
      <c r="AD45" s="8"/>
      <c r="AF45" s="8"/>
      <c r="AG45" s="8"/>
    </row>
    <row r="46" spans="1:33" x14ac:dyDescent="0.2">
      <c r="A46" s="12">
        <v>5206</v>
      </c>
      <c r="B46" s="13" t="s">
        <v>39</v>
      </c>
      <c r="C46" s="13">
        <v>43346</v>
      </c>
      <c r="D46" s="5">
        <v>35</v>
      </c>
      <c r="E46" s="6" t="s">
        <v>66</v>
      </c>
      <c r="F46" s="5" t="s">
        <v>95</v>
      </c>
      <c r="G46" s="6" t="s">
        <v>94</v>
      </c>
      <c r="H46" s="5" t="str">
        <f>"000115"</f>
        <v>000115</v>
      </c>
      <c r="I46" s="4">
        <v>42800</v>
      </c>
      <c r="J46" s="5" t="str">
        <f>"000201"</f>
        <v>000201</v>
      </c>
      <c r="K46" s="4">
        <v>42825</v>
      </c>
      <c r="L46" s="5" t="str">
        <f>"000643"</f>
        <v>000643</v>
      </c>
      <c r="M46" s="4">
        <v>42825</v>
      </c>
      <c r="N46" s="5">
        <v>17</v>
      </c>
      <c r="O46" s="5" t="str">
        <f>"005313"</f>
        <v>005313</v>
      </c>
      <c r="P46" s="4">
        <v>43333</v>
      </c>
      <c r="Q46" s="7">
        <v>4.1301699999999997</v>
      </c>
      <c r="R46" s="7">
        <v>0.36016999999999999</v>
      </c>
      <c r="S46" s="7">
        <v>3.77</v>
      </c>
      <c r="T46" s="5">
        <v>193</v>
      </c>
      <c r="U46" s="4">
        <v>43346</v>
      </c>
      <c r="V46" s="5">
        <v>8022975610</v>
      </c>
      <c r="W46" s="6" t="s">
        <v>93</v>
      </c>
      <c r="X46" s="5" t="s">
        <v>32</v>
      </c>
      <c r="Y46" s="6" t="s">
        <v>33</v>
      </c>
      <c r="Z46" s="5" t="s">
        <v>68</v>
      </c>
      <c r="AA46" s="6" t="s">
        <v>67</v>
      </c>
      <c r="AB46" s="7">
        <f>Q46/100</f>
        <v>4.1301699999999997E-2</v>
      </c>
      <c r="AD46" s="8"/>
      <c r="AF46" s="8"/>
      <c r="AG46" s="8"/>
    </row>
    <row r="47" spans="1:33" x14ac:dyDescent="0.2">
      <c r="A47" s="12">
        <v>5207</v>
      </c>
      <c r="B47" s="13" t="s">
        <v>39</v>
      </c>
      <c r="C47" s="13">
        <v>43346</v>
      </c>
      <c r="D47" s="5">
        <v>35</v>
      </c>
      <c r="E47" s="6" t="s">
        <v>66</v>
      </c>
      <c r="F47" s="5" t="s">
        <v>92</v>
      </c>
      <c r="G47" s="6" t="s">
        <v>91</v>
      </c>
      <c r="H47" s="5" t="str">
        <f>"000113"</f>
        <v>000113</v>
      </c>
      <c r="I47" s="4">
        <v>42800</v>
      </c>
      <c r="J47" s="5" t="str">
        <f>"000202"</f>
        <v>000202</v>
      </c>
      <c r="K47" s="4">
        <v>42825</v>
      </c>
      <c r="L47" s="5" t="str">
        <f>"000644"</f>
        <v>000644</v>
      </c>
      <c r="M47" s="4">
        <v>42825</v>
      </c>
      <c r="N47" s="5">
        <v>17</v>
      </c>
      <c r="O47" s="5" t="str">
        <f>"005314"</f>
        <v>005314</v>
      </c>
      <c r="P47" s="4">
        <v>43333</v>
      </c>
      <c r="Q47" s="7">
        <v>4.1111899999999997</v>
      </c>
      <c r="R47" s="7">
        <v>0.36119000000000001</v>
      </c>
      <c r="S47" s="7">
        <v>3.75</v>
      </c>
      <c r="T47" s="5">
        <v>193</v>
      </c>
      <c r="U47" s="4">
        <v>43346</v>
      </c>
      <c r="V47" s="5">
        <v>8022975610</v>
      </c>
      <c r="W47" s="6" t="s">
        <v>90</v>
      </c>
      <c r="X47" s="5" t="s">
        <v>32</v>
      </c>
      <c r="Y47" s="6" t="s">
        <v>33</v>
      </c>
      <c r="Z47" s="5" t="s">
        <v>68</v>
      </c>
      <c r="AA47" s="6" t="s">
        <v>67</v>
      </c>
      <c r="AB47" s="7">
        <f>Q47/100</f>
        <v>4.11119E-2</v>
      </c>
      <c r="AD47" s="8"/>
      <c r="AF47" s="8"/>
      <c r="AG47" s="8"/>
    </row>
    <row r="48" spans="1:33" x14ac:dyDescent="0.2">
      <c r="A48" s="12">
        <v>5208</v>
      </c>
      <c r="B48" s="13" t="s">
        <v>39</v>
      </c>
      <c r="C48" s="13">
        <v>43346</v>
      </c>
      <c r="D48" s="5">
        <v>35</v>
      </c>
      <c r="E48" s="6" t="s">
        <v>66</v>
      </c>
      <c r="F48" s="5" t="s">
        <v>89</v>
      </c>
      <c r="G48" s="6" t="s">
        <v>88</v>
      </c>
      <c r="H48" s="5" t="str">
        <f>"000112"</f>
        <v>000112</v>
      </c>
      <c r="I48" s="4">
        <v>42800</v>
      </c>
      <c r="J48" s="5" t="str">
        <f>"000199"</f>
        <v>000199</v>
      </c>
      <c r="K48" s="4">
        <v>42824</v>
      </c>
      <c r="L48" s="5" t="str">
        <f>"000645"</f>
        <v>000645</v>
      </c>
      <c r="M48" s="4">
        <v>42825</v>
      </c>
      <c r="N48" s="5">
        <v>17</v>
      </c>
      <c r="O48" s="5" t="str">
        <f>"005315"</f>
        <v>005315</v>
      </c>
      <c r="P48" s="4">
        <v>43333</v>
      </c>
      <c r="Q48" s="7">
        <v>4.1109</v>
      </c>
      <c r="R48" s="7">
        <v>0.3609</v>
      </c>
      <c r="S48" s="7">
        <v>3.75</v>
      </c>
      <c r="T48" s="5">
        <v>193</v>
      </c>
      <c r="U48" s="4">
        <v>43346</v>
      </c>
      <c r="V48" s="5">
        <v>8022975610</v>
      </c>
      <c r="W48" s="6" t="s">
        <v>87</v>
      </c>
      <c r="X48" s="5" t="s">
        <v>32</v>
      </c>
      <c r="Y48" s="6" t="s">
        <v>33</v>
      </c>
      <c r="Z48" s="5" t="s">
        <v>68</v>
      </c>
      <c r="AA48" s="6" t="s">
        <v>67</v>
      </c>
      <c r="AB48" s="7">
        <f>Q48/100</f>
        <v>4.1109E-2</v>
      </c>
      <c r="AD48" s="8"/>
      <c r="AF48" s="8"/>
      <c r="AG48" s="8"/>
    </row>
    <row r="49" spans="1:33" x14ac:dyDescent="0.2">
      <c r="A49" s="12">
        <v>5963</v>
      </c>
      <c r="B49" s="13" t="s">
        <v>50</v>
      </c>
      <c r="C49" s="13">
        <v>43385</v>
      </c>
      <c r="D49" s="5">
        <v>35</v>
      </c>
      <c r="E49" s="6" t="s">
        <v>66</v>
      </c>
      <c r="F49" s="5" t="s">
        <v>86</v>
      </c>
      <c r="G49" s="6" t="s">
        <v>85</v>
      </c>
      <c r="H49" s="5" t="str">
        <f>"000003"</f>
        <v>000003</v>
      </c>
      <c r="I49" s="4">
        <v>42832</v>
      </c>
      <c r="J49" s="5" t="str">
        <f>"000001"</f>
        <v>000001</v>
      </c>
      <c r="K49" s="4">
        <v>42853</v>
      </c>
      <c r="L49" s="5" t="str">
        <f>"000020"</f>
        <v>000020</v>
      </c>
      <c r="M49" s="4">
        <v>42853</v>
      </c>
      <c r="N49" s="5">
        <v>17</v>
      </c>
      <c r="O49" s="5" t="str">
        <f>"006008"</f>
        <v>006008</v>
      </c>
      <c r="P49" s="4">
        <v>43374</v>
      </c>
      <c r="Q49" s="7">
        <v>10.17764</v>
      </c>
      <c r="R49" s="7">
        <v>0.82143999999999995</v>
      </c>
      <c r="S49" s="7">
        <v>9.3561999999999994</v>
      </c>
      <c r="T49" s="5">
        <v>230</v>
      </c>
      <c r="U49" s="4">
        <v>43385</v>
      </c>
      <c r="V49" s="5">
        <v>9900015678</v>
      </c>
      <c r="W49" s="6" t="s">
        <v>84</v>
      </c>
      <c r="X49" s="5" t="s">
        <v>32</v>
      </c>
      <c r="Y49" s="6" t="s">
        <v>33</v>
      </c>
      <c r="Z49" s="5" t="s">
        <v>68</v>
      </c>
      <c r="AA49" s="6" t="s">
        <v>67</v>
      </c>
      <c r="AB49" s="7">
        <f>Q49/100</f>
        <v>0.1017764</v>
      </c>
      <c r="AD49" s="8"/>
      <c r="AF49" s="8"/>
      <c r="AG49" s="8"/>
    </row>
    <row r="50" spans="1:33" x14ac:dyDescent="0.2">
      <c r="A50" s="12">
        <v>5964</v>
      </c>
      <c r="B50" s="13" t="s">
        <v>50</v>
      </c>
      <c r="C50" s="13">
        <v>43385</v>
      </c>
      <c r="D50" s="5">
        <v>35</v>
      </c>
      <c r="E50" s="6" t="s">
        <v>66</v>
      </c>
      <c r="F50" s="5" t="s">
        <v>83</v>
      </c>
      <c r="G50" s="6" t="s">
        <v>82</v>
      </c>
      <c r="H50" s="5" t="str">
        <f>"000004"</f>
        <v>000004</v>
      </c>
      <c r="I50" s="4">
        <v>42832</v>
      </c>
      <c r="J50" s="5" t="str">
        <f>"000002"</f>
        <v>000002</v>
      </c>
      <c r="K50" s="4">
        <v>42853</v>
      </c>
      <c r="L50" s="5" t="str">
        <f>"000023"</f>
        <v>000023</v>
      </c>
      <c r="M50" s="4">
        <v>42853</v>
      </c>
      <c r="N50" s="5">
        <v>17</v>
      </c>
      <c r="O50" s="5" t="str">
        <f>"006012"</f>
        <v>006012</v>
      </c>
      <c r="P50" s="4">
        <v>43374</v>
      </c>
      <c r="Q50" s="7">
        <v>8.5843699999999998</v>
      </c>
      <c r="R50" s="7">
        <v>0.63436999999999999</v>
      </c>
      <c r="S50" s="7">
        <v>7.95</v>
      </c>
      <c r="T50" s="5">
        <v>230</v>
      </c>
      <c r="U50" s="4">
        <v>43385</v>
      </c>
      <c r="V50" s="5">
        <v>9900015678</v>
      </c>
      <c r="W50" s="6" t="s">
        <v>81</v>
      </c>
      <c r="X50" s="5" t="s">
        <v>32</v>
      </c>
      <c r="Y50" s="6" t="s">
        <v>33</v>
      </c>
      <c r="Z50" s="5" t="s">
        <v>68</v>
      </c>
      <c r="AA50" s="6" t="s">
        <v>67</v>
      </c>
      <c r="AB50" s="7">
        <f>Q50/100</f>
        <v>8.5843699999999995E-2</v>
      </c>
      <c r="AD50" s="8"/>
      <c r="AF50" s="8"/>
      <c r="AG50" s="8"/>
    </row>
    <row r="51" spans="1:33" x14ac:dyDescent="0.2">
      <c r="A51" s="12">
        <v>7146</v>
      </c>
      <c r="B51" s="13" t="s">
        <v>48</v>
      </c>
      <c r="C51" s="13">
        <v>43418</v>
      </c>
      <c r="D51" s="5">
        <v>35</v>
      </c>
      <c r="E51" s="6" t="s">
        <v>66</v>
      </c>
      <c r="F51" s="5" t="s">
        <v>80</v>
      </c>
      <c r="G51" s="6" t="s">
        <v>79</v>
      </c>
      <c r="H51" s="5" t="str">
        <f>"000064"</f>
        <v>000064</v>
      </c>
      <c r="I51" s="4">
        <v>43042</v>
      </c>
      <c r="J51" s="5" t="str">
        <f>"000032"</f>
        <v>000032</v>
      </c>
      <c r="K51" s="4">
        <v>43129</v>
      </c>
      <c r="L51" s="5" t="str">
        <f>"000094"</f>
        <v>000094</v>
      </c>
      <c r="M51" s="4">
        <v>43136</v>
      </c>
      <c r="N51" s="5">
        <v>17</v>
      </c>
      <c r="O51" s="5" t="str">
        <f>"007148"</f>
        <v>007148</v>
      </c>
      <c r="P51" s="4">
        <v>43403</v>
      </c>
      <c r="Q51" s="7">
        <v>4.8890500000000001</v>
      </c>
      <c r="R51" s="7">
        <v>0.42807000000000001</v>
      </c>
      <c r="S51" s="7">
        <v>4.4609800000000002</v>
      </c>
      <c r="T51" s="5">
        <v>261</v>
      </c>
      <c r="U51" s="4">
        <v>43418</v>
      </c>
      <c r="V51" s="5">
        <v>8022975610</v>
      </c>
      <c r="W51" s="6" t="s">
        <v>78</v>
      </c>
      <c r="X51" s="5" t="s">
        <v>40</v>
      </c>
      <c r="Y51" s="6" t="s">
        <v>41</v>
      </c>
      <c r="Z51" s="5" t="s">
        <v>68</v>
      </c>
      <c r="AA51" s="6" t="s">
        <v>67</v>
      </c>
      <c r="AB51" s="7">
        <f>Q51/100</f>
        <v>4.8890500000000003E-2</v>
      </c>
      <c r="AD51" s="8"/>
      <c r="AF51" s="8"/>
      <c r="AG51" s="8"/>
    </row>
    <row r="52" spans="1:33" x14ac:dyDescent="0.2">
      <c r="A52" s="12">
        <v>7704</v>
      </c>
      <c r="B52" s="13" t="s">
        <v>49</v>
      </c>
      <c r="C52" s="13">
        <v>43448</v>
      </c>
      <c r="D52" s="5">
        <v>35</v>
      </c>
      <c r="E52" s="6" t="s">
        <v>66</v>
      </c>
      <c r="F52" s="5" t="s">
        <v>77</v>
      </c>
      <c r="G52" s="6" t="s">
        <v>76</v>
      </c>
      <c r="H52" s="5" t="str">
        <f>"000053"</f>
        <v>000053</v>
      </c>
      <c r="I52" s="4">
        <v>41564</v>
      </c>
      <c r="J52" s="5" t="str">
        <f>"000075"</f>
        <v>000075</v>
      </c>
      <c r="K52" s="4">
        <v>42629</v>
      </c>
      <c r="L52" s="5" t="str">
        <f>"000125"</f>
        <v>000125</v>
      </c>
      <c r="M52" s="4">
        <v>42296</v>
      </c>
      <c r="N52" s="5">
        <v>13</v>
      </c>
      <c r="O52" s="5" t="str">
        <f>"007998"</f>
        <v>007998</v>
      </c>
      <c r="P52" s="4">
        <v>43448</v>
      </c>
      <c r="Q52" s="7">
        <v>1.0009600000000001</v>
      </c>
      <c r="R52" s="7">
        <v>0.12411999999999999</v>
      </c>
      <c r="S52" s="7">
        <v>0.87683999999999995</v>
      </c>
      <c r="T52" s="5">
        <v>291</v>
      </c>
      <c r="U52" s="4">
        <v>43448</v>
      </c>
      <c r="V52" s="5">
        <v>9901967054</v>
      </c>
      <c r="W52" s="6" t="s">
        <v>75</v>
      </c>
      <c r="X52" s="5" t="s">
        <v>53</v>
      </c>
      <c r="Y52" s="6" t="s">
        <v>52</v>
      </c>
      <c r="Z52" s="5" t="s">
        <v>62</v>
      </c>
      <c r="AA52" s="6" t="s">
        <v>61</v>
      </c>
      <c r="AB52" s="7">
        <f>Q52/100</f>
        <v>1.00096E-2</v>
      </c>
      <c r="AD52" s="8"/>
      <c r="AF52" s="8"/>
      <c r="AG52" s="8"/>
    </row>
    <row r="53" spans="1:33" x14ac:dyDescent="0.2">
      <c r="A53" s="12">
        <v>7705</v>
      </c>
      <c r="B53" s="13" t="s">
        <v>49</v>
      </c>
      <c r="C53" s="13">
        <v>43448</v>
      </c>
      <c r="D53" s="5">
        <v>35</v>
      </c>
      <c r="E53" s="6" t="s">
        <v>66</v>
      </c>
      <c r="F53" s="5" t="s">
        <v>74</v>
      </c>
      <c r="G53" s="6" t="s">
        <v>73</v>
      </c>
      <c r="H53" s="5" t="str">
        <f>"000039"</f>
        <v>000039</v>
      </c>
      <c r="I53" s="4">
        <v>43033</v>
      </c>
      <c r="J53" s="5" t="str">
        <f>"000014"</f>
        <v>000014</v>
      </c>
      <c r="K53" s="4">
        <v>43036</v>
      </c>
      <c r="L53" s="5" t="str">
        <f>"000018"</f>
        <v>000018</v>
      </c>
      <c r="M53" s="4">
        <v>43039</v>
      </c>
      <c r="N53" s="5">
        <v>17</v>
      </c>
      <c r="O53" s="5" t="str">
        <f>"007875"</f>
        <v>007875</v>
      </c>
      <c r="P53" s="4">
        <v>43445</v>
      </c>
      <c r="Q53" s="7">
        <v>0.88754999999999995</v>
      </c>
      <c r="R53" s="7">
        <v>4.07E-2</v>
      </c>
      <c r="S53" s="7">
        <v>0.84684999999999999</v>
      </c>
      <c r="T53" s="5">
        <v>292</v>
      </c>
      <c r="U53" s="4">
        <v>43448</v>
      </c>
      <c r="V53" s="5">
        <v>8022975610</v>
      </c>
      <c r="W53" s="6" t="s">
        <v>72</v>
      </c>
      <c r="X53" s="5" t="s">
        <v>32</v>
      </c>
      <c r="Y53" s="6" t="s">
        <v>33</v>
      </c>
      <c r="Z53" s="5" t="s">
        <v>68</v>
      </c>
      <c r="AA53" s="6" t="s">
        <v>67</v>
      </c>
      <c r="AB53" s="7">
        <f>Q53/100</f>
        <v>8.8754999999999997E-3</v>
      </c>
      <c r="AD53" s="8"/>
      <c r="AF53" s="8"/>
      <c r="AG53" s="8"/>
    </row>
    <row r="54" spans="1:33" x14ac:dyDescent="0.2">
      <c r="A54" s="12">
        <v>7706</v>
      </c>
      <c r="B54" s="13" t="s">
        <v>49</v>
      </c>
      <c r="C54" s="13">
        <v>43448</v>
      </c>
      <c r="D54" s="5">
        <v>35</v>
      </c>
      <c r="E54" s="6" t="s">
        <v>66</v>
      </c>
      <c r="F54" s="5" t="s">
        <v>71</v>
      </c>
      <c r="G54" s="6" t="s">
        <v>70</v>
      </c>
      <c r="H54" s="5" t="str">
        <f>"000038"</f>
        <v>000038</v>
      </c>
      <c r="I54" s="4">
        <v>43033</v>
      </c>
      <c r="J54" s="5" t="str">
        <f>"000012"</f>
        <v>000012</v>
      </c>
      <c r="K54" s="4">
        <v>43036</v>
      </c>
      <c r="L54" s="5" t="str">
        <f>"000019"</f>
        <v>000019</v>
      </c>
      <c r="M54" s="4">
        <v>43039</v>
      </c>
      <c r="N54" s="5">
        <v>17</v>
      </c>
      <c r="O54" s="5" t="str">
        <f>"007878"</f>
        <v>007878</v>
      </c>
      <c r="P54" s="4">
        <v>43445</v>
      </c>
      <c r="Q54" s="7">
        <v>0.79203999999999997</v>
      </c>
      <c r="R54" s="7">
        <v>3.6600000000000001E-2</v>
      </c>
      <c r="S54" s="7">
        <v>0.75544</v>
      </c>
      <c r="T54" s="5">
        <v>292</v>
      </c>
      <c r="U54" s="4">
        <v>43448</v>
      </c>
      <c r="V54" s="5">
        <v>8022975610</v>
      </c>
      <c r="W54" s="6" t="s">
        <v>69</v>
      </c>
      <c r="X54" s="5" t="s">
        <v>32</v>
      </c>
      <c r="Y54" s="6" t="s">
        <v>33</v>
      </c>
      <c r="Z54" s="5" t="s">
        <v>68</v>
      </c>
      <c r="AA54" s="6" t="s">
        <v>67</v>
      </c>
      <c r="AB54" s="7">
        <f>Q54/100</f>
        <v>7.9203999999999993E-3</v>
      </c>
      <c r="AD54" s="8"/>
      <c r="AF54" s="8"/>
      <c r="AG54" s="8"/>
    </row>
    <row r="55" spans="1:33" x14ac:dyDescent="0.2">
      <c r="A55" s="12">
        <v>7976</v>
      </c>
      <c r="B55" s="13" t="s">
        <v>49</v>
      </c>
      <c r="C55" s="13">
        <v>43455</v>
      </c>
      <c r="D55" s="5">
        <v>35</v>
      </c>
      <c r="E55" s="6" t="s">
        <v>66</v>
      </c>
      <c r="F55" s="5" t="s">
        <v>65</v>
      </c>
      <c r="G55" s="6" t="s">
        <v>64</v>
      </c>
      <c r="H55" s="5" t="str">
        <f>"000024"</f>
        <v>000024</v>
      </c>
      <c r="I55" s="4">
        <v>42875</v>
      </c>
      <c r="J55" s="5" t="str">
        <f>"000134"</f>
        <v>000134</v>
      </c>
      <c r="K55" s="4">
        <v>42877</v>
      </c>
      <c r="L55" s="5" t="str">
        <f>"000244"</f>
        <v>000244</v>
      </c>
      <c r="M55" s="4">
        <v>42877</v>
      </c>
      <c r="N55" s="5">
        <v>16</v>
      </c>
      <c r="O55" s="5" t="str">
        <f>"008105"</f>
        <v>008105</v>
      </c>
      <c r="P55" s="4">
        <v>43454</v>
      </c>
      <c r="Q55" s="7">
        <v>0.86899999999999999</v>
      </c>
      <c r="R55" s="7">
        <v>0.11315</v>
      </c>
      <c r="S55" s="7">
        <v>0.75585000000000002</v>
      </c>
      <c r="T55" s="5">
        <v>301</v>
      </c>
      <c r="U55" s="4">
        <v>43455</v>
      </c>
      <c r="V55" s="5">
        <v>8970251120</v>
      </c>
      <c r="W55" s="6" t="s">
        <v>63</v>
      </c>
      <c r="X55" s="5" t="s">
        <v>53</v>
      </c>
      <c r="Y55" s="6" t="s">
        <v>52</v>
      </c>
      <c r="Z55" s="5" t="s">
        <v>62</v>
      </c>
      <c r="AA55" s="6" t="s">
        <v>61</v>
      </c>
      <c r="AB55" s="7">
        <f>Q55/100</f>
        <v>8.6899999999999998E-3</v>
      </c>
      <c r="AD55" s="8"/>
      <c r="AF55" s="8"/>
      <c r="AG5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2019-01-14T11:25:34Z</dcterms:modified>
</cp:coreProperties>
</file>