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H16" i="1"/>
  <c r="J16" i="1"/>
  <c r="L16" i="1"/>
  <c r="O16" i="1"/>
  <c r="H17" i="1"/>
  <c r="J17" i="1"/>
  <c r="L17" i="1"/>
  <c r="O17" i="1"/>
  <c r="H18" i="1"/>
  <c r="J18" i="1"/>
  <c r="L18" i="1"/>
  <c r="O18" i="1"/>
  <c r="H19" i="1"/>
  <c r="J19" i="1"/>
  <c r="L19" i="1"/>
  <c r="O19" i="1"/>
  <c r="H20" i="1"/>
  <c r="J20" i="1"/>
  <c r="L20" i="1"/>
  <c r="O20" i="1"/>
  <c r="H21" i="1"/>
  <c r="J21" i="1"/>
  <c r="L21" i="1"/>
  <c r="O21" i="1"/>
  <c r="H22" i="1"/>
  <c r="J22" i="1"/>
  <c r="L22" i="1"/>
  <c r="O22" i="1"/>
  <c r="H23" i="1"/>
  <c r="J23" i="1"/>
  <c r="L23" i="1"/>
  <c r="O23" i="1"/>
  <c r="H24" i="1"/>
  <c r="J24" i="1"/>
  <c r="L24" i="1"/>
  <c r="O24" i="1"/>
  <c r="H25" i="1"/>
  <c r="J25" i="1"/>
  <c r="L25" i="1"/>
  <c r="O25" i="1"/>
  <c r="H26" i="1"/>
  <c r="J26" i="1"/>
  <c r="L26" i="1"/>
  <c r="O26" i="1"/>
  <c r="H27" i="1"/>
  <c r="J27" i="1"/>
  <c r="L27" i="1"/>
  <c r="O27" i="1"/>
  <c r="H28" i="1"/>
  <c r="J28" i="1"/>
  <c r="L28" i="1"/>
  <c r="O28" i="1"/>
  <c r="H29" i="1"/>
  <c r="J29" i="1"/>
  <c r="L29" i="1"/>
  <c r="O29" i="1"/>
  <c r="H30" i="1"/>
  <c r="J30" i="1"/>
  <c r="L30" i="1"/>
  <c r="O30" i="1"/>
  <c r="H31" i="1"/>
  <c r="J31" i="1"/>
  <c r="L31" i="1"/>
  <c r="O31" i="1"/>
  <c r="H32" i="1"/>
  <c r="J32" i="1"/>
  <c r="L32" i="1"/>
  <c r="O32" i="1"/>
  <c r="H33" i="1"/>
  <c r="J33" i="1"/>
  <c r="L33" i="1"/>
  <c r="O33" i="1"/>
  <c r="H34" i="1"/>
  <c r="J34" i="1"/>
  <c r="L34" i="1"/>
  <c r="O34" i="1"/>
  <c r="H35" i="1"/>
  <c r="J35" i="1"/>
  <c r="L35" i="1"/>
  <c r="O35" i="1"/>
  <c r="H36" i="1"/>
  <c r="J36" i="1"/>
  <c r="L36" i="1"/>
  <c r="O36" i="1"/>
  <c r="H37" i="1"/>
  <c r="J37" i="1"/>
  <c r="L37" i="1"/>
  <c r="O37" i="1"/>
  <c r="H38" i="1"/>
  <c r="J38" i="1"/>
  <c r="L38" i="1"/>
  <c r="O38" i="1"/>
  <c r="H39" i="1"/>
  <c r="J39" i="1"/>
  <c r="L39" i="1"/>
  <c r="O39" i="1"/>
  <c r="H40" i="1"/>
  <c r="J40" i="1"/>
  <c r="L40" i="1"/>
  <c r="O40" i="1"/>
  <c r="H41" i="1"/>
  <c r="J41" i="1"/>
  <c r="L41" i="1"/>
  <c r="O41" i="1"/>
  <c r="H42" i="1"/>
  <c r="J42" i="1"/>
  <c r="L42" i="1"/>
  <c r="O42" i="1"/>
  <c r="H43" i="1"/>
  <c r="J43" i="1"/>
  <c r="L43" i="1"/>
  <c r="O43" i="1"/>
  <c r="H44" i="1"/>
  <c r="J44" i="1"/>
  <c r="L44" i="1"/>
  <c r="O44" i="1"/>
  <c r="H45" i="1"/>
  <c r="J45" i="1"/>
  <c r="L45" i="1"/>
  <c r="O45" i="1"/>
  <c r="H46" i="1"/>
  <c r="J46" i="1"/>
  <c r="L46" i="1"/>
  <c r="O46" i="1"/>
  <c r="H47" i="1"/>
  <c r="J47" i="1"/>
  <c r="L47" i="1"/>
  <c r="O47" i="1"/>
  <c r="H48" i="1"/>
  <c r="J48" i="1"/>
  <c r="L48" i="1"/>
  <c r="O48" i="1"/>
  <c r="H49" i="1"/>
  <c r="J49" i="1"/>
  <c r="L49" i="1"/>
  <c r="O49" i="1"/>
  <c r="H50" i="1"/>
  <c r="J50" i="1"/>
  <c r="L50" i="1"/>
  <c r="O50" i="1"/>
  <c r="H51" i="1"/>
  <c r="J51" i="1"/>
  <c r="L51" i="1"/>
  <c r="O51" i="1"/>
  <c r="H52" i="1"/>
  <c r="J52" i="1"/>
  <c r="L52" i="1"/>
  <c r="O52" i="1"/>
  <c r="H53" i="1"/>
  <c r="J53" i="1"/>
  <c r="L53" i="1"/>
  <c r="O53" i="1"/>
  <c r="H54" i="1"/>
  <c r="J54" i="1"/>
  <c r="L54" i="1"/>
  <c r="O54" i="1"/>
  <c r="H55" i="1"/>
  <c r="J55" i="1"/>
  <c r="L55" i="1"/>
  <c r="O55" i="1"/>
  <c r="H56" i="1"/>
  <c r="J56" i="1"/>
  <c r="L56" i="1"/>
  <c r="O56" i="1"/>
  <c r="H57" i="1"/>
  <c r="J57" i="1"/>
  <c r="L57" i="1"/>
  <c r="O57" i="1"/>
  <c r="H58" i="1"/>
  <c r="J58" i="1"/>
  <c r="L58" i="1"/>
  <c r="O58" i="1"/>
  <c r="H59" i="1"/>
  <c r="J59" i="1"/>
  <c r="L59" i="1"/>
  <c r="O59" i="1"/>
  <c r="H60" i="1"/>
  <c r="J60" i="1"/>
  <c r="L60" i="1"/>
  <c r="O60" i="1"/>
  <c r="H61" i="1"/>
  <c r="J61" i="1"/>
  <c r="L61" i="1"/>
  <c r="O61" i="1"/>
  <c r="H62" i="1"/>
  <c r="J62" i="1"/>
  <c r="L62" i="1"/>
  <c r="O62" i="1"/>
  <c r="H63" i="1"/>
  <c r="J63" i="1"/>
  <c r="L63" i="1"/>
  <c r="O63" i="1"/>
  <c r="H64" i="1"/>
  <c r="J64" i="1"/>
  <c r="L64" i="1"/>
  <c r="O64" i="1"/>
  <c r="H65" i="1"/>
  <c r="J65" i="1"/>
  <c r="L65" i="1"/>
  <c r="O65" i="1"/>
  <c r="H66" i="1"/>
  <c r="J66" i="1"/>
  <c r="L66" i="1"/>
  <c r="O66" i="1"/>
  <c r="H67" i="1"/>
  <c r="J67" i="1"/>
  <c r="L67" i="1"/>
  <c r="O67" i="1"/>
  <c r="H68" i="1"/>
  <c r="J68" i="1"/>
  <c r="L68" i="1"/>
  <c r="O68" i="1"/>
  <c r="H69" i="1"/>
  <c r="J69" i="1"/>
  <c r="L69" i="1"/>
  <c r="O69" i="1"/>
  <c r="H70" i="1"/>
  <c r="J70" i="1"/>
  <c r="L70" i="1"/>
  <c r="O70" i="1"/>
  <c r="AB70" i="1"/>
  <c r="H71" i="1"/>
  <c r="J71" i="1"/>
  <c r="L71" i="1"/>
  <c r="O71" i="1"/>
  <c r="AB71" i="1"/>
  <c r="H72" i="1"/>
  <c r="J72" i="1"/>
  <c r="L72" i="1"/>
  <c r="O72" i="1"/>
  <c r="AB72" i="1"/>
  <c r="H73" i="1"/>
  <c r="J73" i="1"/>
  <c r="L73" i="1"/>
  <c r="O73" i="1"/>
  <c r="AB73" i="1"/>
  <c r="H74" i="1"/>
  <c r="J74" i="1"/>
  <c r="L74" i="1"/>
  <c r="O74" i="1"/>
  <c r="AB74" i="1"/>
  <c r="H75" i="1"/>
  <c r="J75" i="1"/>
  <c r="L75" i="1"/>
  <c r="O75" i="1"/>
  <c r="AB75" i="1"/>
  <c r="H76" i="1"/>
  <c r="J76" i="1"/>
  <c r="L76" i="1"/>
  <c r="O76" i="1"/>
  <c r="AB76" i="1"/>
  <c r="H77" i="1"/>
  <c r="J77" i="1"/>
  <c r="L77" i="1"/>
  <c r="O77" i="1"/>
  <c r="AB77" i="1"/>
  <c r="H78" i="1"/>
  <c r="J78" i="1"/>
  <c r="L78" i="1"/>
  <c r="O78" i="1"/>
  <c r="AB78" i="1"/>
  <c r="H79" i="1"/>
  <c r="J79" i="1"/>
  <c r="L79" i="1"/>
  <c r="O79" i="1"/>
  <c r="AB79" i="1"/>
  <c r="H80" i="1"/>
  <c r="J80" i="1"/>
  <c r="L80" i="1"/>
  <c r="O80" i="1"/>
  <c r="AB80" i="1"/>
  <c r="H81" i="1"/>
  <c r="J81" i="1"/>
  <c r="L81" i="1"/>
  <c r="O81" i="1"/>
  <c r="AB81" i="1"/>
  <c r="H82" i="1"/>
  <c r="J82" i="1"/>
  <c r="L82" i="1"/>
  <c r="O82" i="1"/>
  <c r="AB82" i="1"/>
  <c r="H83" i="1"/>
  <c r="J83" i="1"/>
  <c r="L83" i="1"/>
  <c r="O83" i="1"/>
  <c r="AB83" i="1"/>
  <c r="H84" i="1"/>
  <c r="J84" i="1"/>
  <c r="L84" i="1"/>
  <c r="O84" i="1"/>
  <c r="AB84" i="1"/>
  <c r="H85" i="1"/>
  <c r="J85" i="1"/>
  <c r="L85" i="1"/>
  <c r="O85" i="1"/>
  <c r="AB85" i="1"/>
  <c r="H86" i="1"/>
  <c r="J86" i="1"/>
  <c r="L86" i="1"/>
  <c r="O86" i="1"/>
  <c r="AB86" i="1"/>
  <c r="H87" i="1"/>
  <c r="J87" i="1"/>
  <c r="L87" i="1"/>
  <c r="O87" i="1"/>
  <c r="AB87" i="1"/>
  <c r="H88" i="1"/>
  <c r="J88" i="1"/>
  <c r="L88" i="1"/>
  <c r="O88" i="1"/>
  <c r="AB88" i="1"/>
  <c r="H89" i="1"/>
  <c r="J89" i="1"/>
  <c r="L89" i="1"/>
  <c r="O89" i="1"/>
  <c r="AB89" i="1"/>
  <c r="H90" i="1"/>
  <c r="J90" i="1"/>
  <c r="L90" i="1"/>
  <c r="O90" i="1"/>
  <c r="AB90" i="1"/>
  <c r="H91" i="1"/>
  <c r="J91" i="1"/>
  <c r="L91" i="1"/>
  <c r="O91" i="1"/>
  <c r="AB91" i="1"/>
</calcChain>
</file>

<file path=xl/sharedStrings.xml><?xml version="1.0" encoding="utf-8"?>
<sst xmlns="http://schemas.openxmlformats.org/spreadsheetml/2006/main" count="838" uniqueCount="274">
  <si>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</si>
  <si>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</si>
  <si>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</si>
  <si>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</si>
  <si>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</si>
  <si>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</si>
  <si>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</si>
  <si>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</si>
  <si>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</si>
  <si>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</si>
  <si>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</si>
  <si>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</si>
  <si>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</si>
  <si>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</si>
  <si>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</si>
  <si>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</si>
  <si>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</si>
  <si>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</si>
  <si>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</si>
  <si>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</si>
  <si>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</si>
  <si>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</si>
  <si>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</si>
  <si>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</si>
  <si>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</si>
  <si>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</si>
  <si>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</si>
  <si>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</si>
  <si>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P3158</t>
  </si>
  <si>
    <t>SIP Infrastructure Project works</t>
  </si>
  <si>
    <t>August</t>
  </si>
  <si>
    <t>P1771</t>
  </si>
  <si>
    <t>Zone Works - POW Works</t>
  </si>
  <si>
    <t>July</t>
  </si>
  <si>
    <t>P0300</t>
  </si>
  <si>
    <t>M and R to Street Lights - Replacement of Burnt Bulbs etc. (Package)</t>
  </si>
  <si>
    <t>June</t>
  </si>
  <si>
    <t>May</t>
  </si>
  <si>
    <t>September</t>
  </si>
  <si>
    <t>P3110</t>
  </si>
  <si>
    <t>14th Finance Commission Grant Works</t>
  </si>
  <si>
    <t>December</t>
  </si>
  <si>
    <t>October</t>
  </si>
  <si>
    <t>Special Development works in 7 CMC and 1 TMC area in BBMP</t>
  </si>
  <si>
    <t>P3089</t>
  </si>
  <si>
    <t xml:space="preserve"> Executive Engineer (Electrical) Rajarajeshwari Nagar Zone</t>
  </si>
  <si>
    <t>ddo009</t>
  </si>
  <si>
    <t>April</t>
  </si>
  <si>
    <t>18per - Works (Bhagyajyothi, Sooru / Neeru Yojane and General) (54 Lakhs / New Wards)</t>
  </si>
  <si>
    <t>P1878</t>
  </si>
  <si>
    <t>Water Supply New Areas</t>
  </si>
  <si>
    <t>P1802</t>
  </si>
  <si>
    <t>KRIDL</t>
  </si>
  <si>
    <t>Works sanctioned by Hon Mayor</t>
  </si>
  <si>
    <t>P0190</t>
  </si>
  <si>
    <t xml:space="preserve"> Assistant Executive Engineer Herohalli Sub Division Rajarajeshwari Nagar Zone</t>
  </si>
  <si>
    <t>ddo013</t>
  </si>
  <si>
    <t>M/s. Cauvery Aqua Services, Prop.Thomas.P.A.</t>
  </si>
  <si>
    <t>Drilling of Borewell and Allied works in ward no 40 of Herohalli Sub Divisioin</t>
  </si>
  <si>
    <t>040-18-000007</t>
  </si>
  <si>
    <t>Dodda Bidarakallu</t>
  </si>
  <si>
    <t>Special Development works at  Yeshwanthpur, Shantinagar, K.R.Puram, Assembly Constituencies Rs.5.00 Cr. Each</t>
  </si>
  <si>
    <t>P3321</t>
  </si>
  <si>
    <t>M. Rajesh (Sri Nanjundeshwara Construction)</t>
  </si>
  <si>
    <t>Drilling Borewells for Water Supply in ward no 40.</t>
  </si>
  <si>
    <t>040-18-000012</t>
  </si>
  <si>
    <t>Sinking Energizinsing and Commissining of Borewells in Dodda Bidarekallu  Ward Area in Ward No. 40</t>
  </si>
  <si>
    <t>040-18-000006</t>
  </si>
  <si>
    <t>M/S.KRIDL</t>
  </si>
  <si>
    <t>Providing R.O Plant in and Around  ward no 40 Stage-1</t>
  </si>
  <si>
    <t>040-18-000010</t>
  </si>
  <si>
    <t>B M Range Gowda</t>
  </si>
  <si>
    <t>Consultancy Services for Preparation of Detailed report(D.P.R) for the 05Works of Kengeri Division (Package-1)</t>
  </si>
  <si>
    <t>040-17-000006</t>
  </si>
  <si>
    <t>M/s.KRIDL</t>
  </si>
  <si>
    <t>Consultancy Services for Preparation of Detailed Project Report(D.P.R) for the 02 Works of ward no.40, Kengeri (4-5) P-2</t>
  </si>
  <si>
    <t>040-16-000049</t>
  </si>
  <si>
    <t>Improvements to Roads and Drains at Andrahalli Stage-2 . in ward no-40 of Herohalli Sub division</t>
  </si>
  <si>
    <t>040-16-000050</t>
  </si>
  <si>
    <t>M/S KRIDL</t>
  </si>
  <si>
    <t xml:space="preserve">Improvements of Roads and Drains in Sai Baba Nagar and surrounding areas in Ward No.40. (Stage-1).  </t>
  </si>
  <si>
    <t>040-18-000256</t>
  </si>
  <si>
    <t xml:space="preserve">Improvements of Roads and Drains near Jodi Sri Muneshwara Temple and surrounding in Ward No.40.  </t>
  </si>
  <si>
    <t>040-18-000258</t>
  </si>
  <si>
    <t xml:space="preserve">Improvements of Roads and Drains near Anupama School and surrounding areas in Ward No.40. (Stage-1).  </t>
  </si>
  <si>
    <t>040-18-000264</t>
  </si>
  <si>
    <t xml:space="preserve">Improvements of Roads and Drains near Vidyamanya Nagar (Phase 2) and surrounding areas in Ward No.40 (Stage-1).  </t>
  </si>
  <si>
    <t>040-18-000261</t>
  </si>
  <si>
    <t xml:space="preserve">Improvements of Roads and Drains in Sai Baba Nagar and surrounding areas in Ward No.40. (Stage-2).  </t>
  </si>
  <si>
    <t>040-18-000257</t>
  </si>
  <si>
    <t xml:space="preserve">Improvements of Roads and Drains near Anupama School and surrounding areas in Ward No.40. (Stage-2).  </t>
  </si>
  <si>
    <t>040-18-000265</t>
  </si>
  <si>
    <t xml:space="preserve">Improvements of Roads and Drains in Basaveshwara Badavane and surrounding areas in Ward No.40  (Stage-1).  </t>
  </si>
  <si>
    <t>040-18-000260</t>
  </si>
  <si>
    <t xml:space="preserve">Improvements of Roads and Drains near Vidyamanya Nagar and surrounding areas in Ward No.40. (Stage-1).  </t>
  </si>
  <si>
    <t>040-18-000259</t>
  </si>
  <si>
    <t xml:space="preserve">Improvements of Roads and Drains in Vidyamanya Nagar (Phase 2) and surrounding areas in Ward No.40. (Stage-2).  </t>
  </si>
  <si>
    <t>040-18-000262</t>
  </si>
  <si>
    <t xml:space="preserve">Improvements of Roads and Drains near Chethan Circle and surrounding areas in Ward No.40. (Stage-1).  </t>
  </si>
  <si>
    <t>040-18-000263</t>
  </si>
  <si>
    <t>Construction Of SamudayaBhavana at Gollarahatti,  Doddabidrakallu in  Ward No:40 of Herohalli Sub Division</t>
  </si>
  <si>
    <t>040-17-000016</t>
  </si>
  <si>
    <t>Reserve fund for TandF Committee</t>
  </si>
  <si>
    <t>P2415</t>
  </si>
  <si>
    <t>Executive Engineer, KRIDL</t>
  </si>
  <si>
    <t>Drilling of Borewells and other Alliged works at Doddabidarakallu ward Limits in ward no 40 of Herohalli Sub Division</t>
  </si>
  <si>
    <t>040-17-000002</t>
  </si>
  <si>
    <t>Naveen Kumar Nagaraju (M/S Blue Shades Enterprises)</t>
  </si>
  <si>
    <t>Providing Modren Dust Bin in Bangalore City in ward no 40</t>
  </si>
  <si>
    <t>040-17-000059</t>
  </si>
  <si>
    <t>Providing and supply of water through tractor and tanker at Doddabidrakallu Ward Limits in Ward No 40 of Herohalli Sub Division</t>
  </si>
  <si>
    <t>040-17-000047</t>
  </si>
  <si>
    <t>Drilling Borewells and Providing Electrification and Laying PVC Pipe Line with End Connection of Borewells in Doddabidrakallu Ward Limits in Ward No 40 of herohalli sub division</t>
  </si>
  <si>
    <t>040-17-000045</t>
  </si>
  <si>
    <t>Maintenance of PVC Pipe line at Channanayakanapalya Thippenhalli and Doddabidrakallu karihobanahalli in Doddabidrakallu in Ward No 40 of Herohalli Sub Division</t>
  </si>
  <si>
    <t>040-17-000037</t>
  </si>
  <si>
    <t>Maintenance for Repairs and Replacement of Parts of Submersible pump set Motors Control Panels Internal and External Wiring in Venugopala Nagara rajivghandi Nagara Shivaganga Layout Byraveshwara Nagara siddaganga Badavanae Maranna Layout Gangamehamaiah Badavanae Muneshwara Badavanae suvarna Nagara Wipro Layout Sapthagiri Badavanae Doddabidrakallu Thippenahalli Benaka Layout Kalabyraveshwara Nagara Chennanayakanapalya Muniswamappa Badavanae Mysore Lamp Layout Bhavani Nagara Muneshwara Nagara Kamath Residencey in Doddabidrakallu in Ward No 40 of Herohalli Sub Division</t>
  </si>
  <si>
    <t>040-17-000039</t>
  </si>
  <si>
    <t>Water Supply Through Tractor and Tankers in Ward No 40 of herohalli sub division</t>
  </si>
  <si>
    <t>040-17-000044</t>
  </si>
  <si>
    <t>Executive Enigneer,KRIDL</t>
  </si>
  <si>
    <t>Maintenance for Repairs and Replacement of parts of submersible pump set motor control panels Internal and External wiring in Balaji Nagara thigalarapalya udupa layout bylanjenya nagara mubarak nagara khadamba nagara muneshwara nagara karihobanahalli Andrahalli linghadeeranahalli Hosahalli Thulasinagara Golarahatti Saibaba nagara Vidyaman Nagara Sri chakra nagara Basaweshwara Nagara Rameshwara Badavane Doddanna Layout Soundrya Layout Vinayaka nagara in Doddabidrakallu ward no 40 of herohalli sub division</t>
  </si>
  <si>
    <t>040-17-000040</t>
  </si>
  <si>
    <t>Maintenance of PVC Pipe line at Thigalarapalya Andrahalli Gollarahatti and Hoshalli in Doddabidrakallu in Ward No 40 of Herohalli Sub Division</t>
  </si>
  <si>
    <t>040-17-000038</t>
  </si>
  <si>
    <t>Water Supply Through PVC Pipe Line at Doddabidrakallu ward Limits in Ward 40 of herohalli sub division</t>
  </si>
  <si>
    <t>040-17-000043</t>
  </si>
  <si>
    <t>Improvements of roads and drains near Anupama school surroundings in ward no 40 of Herohalli Sub Division</t>
  </si>
  <si>
    <t>040-17-000004</t>
  </si>
  <si>
    <t>Improvements of roads and drains at Anupama school 3rd stage in ward no 40 of Herohalli Sub Division</t>
  </si>
  <si>
    <t>040-17-000005</t>
  </si>
  <si>
    <t>Improvements of roads near 40 feet road Andhrahalli in ward no 40 of Herohalli Sub Division</t>
  </si>
  <si>
    <t>040-17-000003</t>
  </si>
  <si>
    <t>M/S Maruthi Electricals Prop:Naveen Kumar</t>
  </si>
  <si>
    <t>Operation and Maintenance of Street Light System in Ward No.40-Doddabidarakallu(P-Andhrahalli) Package R28 of RajarajeshwariNagar Zone.</t>
  </si>
  <si>
    <t>040-16-000002</t>
  </si>
  <si>
    <t xml:space="preserve"> B.Siddegowda</t>
  </si>
  <si>
    <t>Supplying of Gangman and Tractor at Doddabidrakallu Ward 40 of Herohalli sub division</t>
  </si>
  <si>
    <t>040-15-000014</t>
  </si>
  <si>
    <t>K Kiran kumar(M.V.Infra services Pvt.Ltd)</t>
  </si>
  <si>
    <t>Providing CC Camera at Garbage Block Spots in ward no 40</t>
  </si>
  <si>
    <t>040-17-000058</t>
  </si>
  <si>
    <t xml:space="preserve">Improvements Roads and Drains at Brundavan Nagar Main and Cross Roads Stage-1 in Ward No.40 of Herohalli Sub-division. </t>
  </si>
  <si>
    <t>040-18-000270</t>
  </si>
  <si>
    <t xml:space="preserve">Improvements Roads and Drains at Sridevi Nagar (Gollarahatti) Surrounding area Stage-4 in Ward No.40 of Herohalli Sub-division. </t>
  </si>
  <si>
    <t>040-18-000269</t>
  </si>
  <si>
    <t xml:space="preserve">Improvements Roads and Drains at Chalukya Nagar and Surrounding areas in Ward No.40 of Herohalli Sub-division </t>
  </si>
  <si>
    <t>040-18-000276</t>
  </si>
  <si>
    <t xml:space="preserve">Improvements Roads and Drains at Brundavan Nagar Main and Cross Roads Stage-3 in Ward No.40 of Herohalli Sub-division. </t>
  </si>
  <si>
    <t>040-18-000271</t>
  </si>
  <si>
    <t xml:space="preserve">Improvements Roads and Drains at Sridevi Nagar (Gollarahatti) Surrounding area Stage-2 in Ward No.40 of Herohalli Sub-division. </t>
  </si>
  <si>
    <t>040-18-000267</t>
  </si>
  <si>
    <t xml:space="preserve">Improvements Roads and Drains at Sridevi Nagar (Gollarahatti) Surrounding area Stage-3 in Ward No.40 of Herohalli Sub-division. </t>
  </si>
  <si>
    <t>040-18-000268</t>
  </si>
  <si>
    <t xml:space="preserve">Improvements Roads and Drains at Sridevi Nagar (Gollarahatti) Surrounding area Stage-1 in Ward No.40 of Herohalli Sub-division. </t>
  </si>
  <si>
    <t>040-18-000266</t>
  </si>
  <si>
    <t xml:space="preserve">Improvements Roads and Drains at Brundavan Nagar Main and Cross Roads Stage-2 in Ward No.40 of Herohalli Sub-division. </t>
  </si>
  <si>
    <t>040-18-000272</t>
  </si>
  <si>
    <t>Construction of RCC Drain and Covering Slabs at Andrahalli Near Govt. School in Ward No.40 of Herohalli Sub-Division.</t>
  </si>
  <si>
    <t>040-18-000274</t>
  </si>
  <si>
    <t xml:space="preserve">Improvements Roads and Drains at Basaveshwaranagar and Surrounding areas in Ward No.40 of Herohalli Sub-division. </t>
  </si>
  <si>
    <t>040-18-000275</t>
  </si>
  <si>
    <t xml:space="preserve">Improvements Roads and Drains at Brundavan Nagar Main and Cross Roads in Ward No.40 of Herohalli Sub-division. </t>
  </si>
  <si>
    <t>040-18-000277</t>
  </si>
  <si>
    <t xml:space="preserve">Construction of RCC Drain and Covering Slabs at Andrahalli Balance Portion in Ward No.40 of Herohalli Sub-Division. </t>
  </si>
  <si>
    <t>040-18-000273</t>
  </si>
  <si>
    <t xml:space="preserve"> Chief Engineer SWD Central Zone</t>
  </si>
  <si>
    <t>ddo313</t>
  </si>
  <si>
    <t>Executive Engineer-3</t>
  </si>
  <si>
    <t>Construction and improvement of storm water drain in Doddabidarakallu W N 40 of Herohalli Sub Division</t>
  </si>
  <si>
    <t>040-17-000118</t>
  </si>
  <si>
    <t>14th Finance Commission Works - SWM Works</t>
  </si>
  <si>
    <t>P3298</t>
  </si>
  <si>
    <t>Solid waste management works at ward no 40</t>
  </si>
  <si>
    <t>040-18-000038</t>
  </si>
  <si>
    <t>M/S. MECADEZ CORE TECHNOLOGIES PRIVATE LIMITED</t>
  </si>
  <si>
    <t>Providing UGD pipeline in W N 40, Tigalarapalya</t>
  </si>
  <si>
    <t>040-17-000113</t>
  </si>
  <si>
    <t xml:space="preserve"> Executive Engineer 3 - Projects 2 Central Zone</t>
  </si>
  <si>
    <t>ddo613</t>
  </si>
  <si>
    <t>Improvements To New Lakes</t>
  </si>
  <si>
    <t>P2175</t>
  </si>
  <si>
    <t>Sri N Srinivas Murthy</t>
  </si>
  <si>
    <t>Comprehensive development of Handrahalli Lake ward No.40</t>
  </si>
  <si>
    <t>308-12-000004</t>
  </si>
  <si>
    <t>M/s. Cauvery Aqua Services</t>
  </si>
  <si>
    <t>Maintenance for Repairs and Replacement of Parts of Submersible pumpset Motors Control Panels Internal and External Wiring in Venugopala Nagara Rajivghandi Nagara Shivaganga Layout Byraveshwara Nagara siddaganga Badavanae maranna Layout Gangamehamaiah Badavanae muneshwara badavanae Doddabidrakallu thippenahalli benaka Layout Kalabyraveshwara Nagara Chennanayakanapalya muniswamappa badavanae mysore lamp layout bhavani nagara muneshwara nagara kamath residency in ward no 40 of Herohalli sub division</t>
  </si>
  <si>
    <t>040-16-000006</t>
  </si>
  <si>
    <t>14th Finance Commission Works - Road and Footpath Maintenance</t>
  </si>
  <si>
    <t>P3296</t>
  </si>
  <si>
    <t>Improvements roads and footpath at ward no 40</t>
  </si>
  <si>
    <t>040-18-000036</t>
  </si>
  <si>
    <t>B.Siddegowda</t>
  </si>
  <si>
    <t>Supply of Gangmen and Tractor at Doddabidrakallu in ward no 40 of Herohalli sub division</t>
  </si>
  <si>
    <t>040-16-000008</t>
  </si>
  <si>
    <t>14th Finance Commission Works - UGD Works</t>
  </si>
  <si>
    <t>P3295</t>
  </si>
  <si>
    <t>UGD works at ward no 40</t>
  </si>
  <si>
    <t>040-18-000035</t>
  </si>
  <si>
    <t>14th Finance Commission Works - Drinking Water</t>
  </si>
  <si>
    <t>P3293</t>
  </si>
  <si>
    <t>Providing Drinking water and Allied works at ward no 40</t>
  </si>
  <si>
    <t>040-18-000033</t>
  </si>
  <si>
    <t>14th Finance Commission Works - Community Property Maintenance (including Parks)</t>
  </si>
  <si>
    <t>P3292</t>
  </si>
  <si>
    <t>Community Property Maintenance (including Parks) at ward no 40</t>
  </si>
  <si>
    <t>040-18-000032</t>
  </si>
  <si>
    <t>14th Finance Commission Grants - SWD Works</t>
  </si>
  <si>
    <t>P3297</t>
  </si>
  <si>
    <t>Storm water drain maintenance at ward no 40</t>
  </si>
  <si>
    <t>040-18-000037</t>
  </si>
  <si>
    <t>14th Finance Commission Works - Providing Street Lights and Maintenance</t>
  </si>
  <si>
    <t>P3290</t>
  </si>
  <si>
    <t>Providing Street lights Maintenance at ward no 40</t>
  </si>
  <si>
    <t>040-18-000030</t>
  </si>
  <si>
    <t>14th Finance Commission Works - General Public ToiletandSeptage Maintenance</t>
  </si>
  <si>
    <t>P3294</t>
  </si>
  <si>
    <t>General public toilet and Septage maintenance at ward no 40</t>
  </si>
  <si>
    <t>040-18-000034</t>
  </si>
  <si>
    <t>14th Fin  -Maintenance of Cremotorium, Burial Grounds</t>
  </si>
  <si>
    <t>P3291</t>
  </si>
  <si>
    <t>Maintenance of Crematorium Burrial Grounds and Office Maintenance at ward no 40</t>
  </si>
  <si>
    <t>040-18-000031</t>
  </si>
  <si>
    <t>Vishwanath</t>
  </si>
  <si>
    <t>Providing Sanitation Maintenance (UGD) at Doddabidrakallu in ward no 40 of Herohalli sub division</t>
  </si>
  <si>
    <t>040-16-000004</t>
  </si>
  <si>
    <t>Improvement of Street lighting system at Bhavaninagara and other places of ward no 40 (Doddabidrakallu)</t>
  </si>
  <si>
    <t>040-17-000001</t>
  </si>
  <si>
    <t>Improvements Roads and Drains and Other Development Works at Hoshalli Colony Northern Side Near Swd In Ward No 40 of Herohalli Sub Division</t>
  </si>
  <si>
    <t>040-18-000246</t>
  </si>
  <si>
    <t>Improvements Roads and Drains and Other Development Works at Channanayakanapalya Colony and Surrounding Areas In Ward No 40 of Herohalli Sub Division</t>
  </si>
  <si>
    <t>040-18-000254</t>
  </si>
  <si>
    <t>Improvements Roads and Drains and Other Development Works at Andrahalli Colony Near Aralimara and Surrounding Areas In Ward No 40 of Herohalli Sub Division</t>
  </si>
  <si>
    <t>040-18-000255</t>
  </si>
  <si>
    <t>Improvements Roads and Drains and Other Development Works at Hoshalli Colony Southern Side Adjecent to Govt School In Ward No 40 of Herohalli Sub Division</t>
  </si>
  <si>
    <t>040-18-000248</t>
  </si>
  <si>
    <t>Improvements Roads and Drains and Other Development Works at Hoshalli Colony Eastern Side Adjecent to Police Ground In Ward No 40 of Herohalli Sub Division</t>
  </si>
  <si>
    <t>040-18-000247</t>
  </si>
  <si>
    <t>Improvements Roads and Drains and Other Development Works at Thigalarapalya Colony and Surrounding Areas In Ward No 40 of Herohalli Sub Division</t>
  </si>
  <si>
    <t>040-18-000251</t>
  </si>
  <si>
    <t>Improvements Roads and Drains and Other Development Works at Valmiki Nagar and Surrounding Areas In Ward No 40 of Herohalli Sub Division</t>
  </si>
  <si>
    <t>040-18-000253</t>
  </si>
  <si>
    <t>Improvements Roads and Drains and Other Development Works at Andrahalli Colony and Surrounding Areas In Ward No 40 of Herohalli Sub Division</t>
  </si>
  <si>
    <t>040-18-000250</t>
  </si>
  <si>
    <t>Improvements Roads and Drains and Other Development Works at Mubarak Nagar and Surrounding Areas In Ward No 40 of Herohalli Sub Division</t>
  </si>
  <si>
    <t>040-18-000252</t>
  </si>
  <si>
    <t>Improvements Roads and Drains and Other Development Works at Hoshalli Colony and Surronding Areas In Ward No 40 of Herohalli Sub Division</t>
  </si>
  <si>
    <t>040-18-000249</t>
  </si>
  <si>
    <t>M/s.Mecadez Core Technologies Pvt. Ltd</t>
  </si>
  <si>
    <t>Improvements and developments works at SWM Plant Stage-1, Doddabidarakallu</t>
  </si>
  <si>
    <t>040-17-000114</t>
  </si>
  <si>
    <t>Construction of compound wall and other infrastructure works to the burial ground at Doddabidarakallu W N 40</t>
  </si>
  <si>
    <t>040-17-000117</t>
  </si>
  <si>
    <t>Improvements and developments works at SWM Plant Stage-II, Doddabidarakallu</t>
  </si>
  <si>
    <t>040-17-000115</t>
  </si>
  <si>
    <t>Construction of public toilets at Doddabidarakallu,n W N 40</t>
  </si>
  <si>
    <t>040-17-000112</t>
  </si>
  <si>
    <t>D.B.Devaraju, M/s.Rajarajeshwari Construction</t>
  </si>
  <si>
    <t>Construction of Samudaya Bhavana(Stage 3) at Thippenahalli in Doddabidrakallu Ward 40 of Herohalli sub division</t>
  </si>
  <si>
    <t>040-15-000011</t>
  </si>
  <si>
    <t>Sri.B.D.Devaraj, M/s.Rajarajeshwari Construction</t>
  </si>
  <si>
    <t>Construction of Samudaya Bhavana(Stage-2) at Thippenahalli at Doddabidrakallu ward no 40 of herohalli sub division</t>
  </si>
  <si>
    <t>040-14-000006</t>
  </si>
  <si>
    <t>Zonal Buildings</t>
  </si>
  <si>
    <t>P0595</t>
  </si>
  <si>
    <t>M/s.Rajarajeshwari Construction</t>
  </si>
  <si>
    <t>CONST OF SAMUDAYA BHAVANA at SY NO 64 OF DODDABIDRAKALLU (2ND STAGE)</t>
  </si>
  <si>
    <t>R-040-13-000003</t>
  </si>
  <si>
    <t>M.D.Gnanendra Murthy</t>
  </si>
  <si>
    <t>Engagement of Gangman and Hiring of Tractor Tippers for cleaning and Maintenance of road side drains and other cleaning works in works in ward no 40</t>
  </si>
  <si>
    <t>040-17-000057</t>
  </si>
  <si>
    <t>M/s Alcon Consulting Engineers</t>
  </si>
  <si>
    <t>Construction of SWD DH-332 from Thigalarapalya main road to Inlet of Handrahalli Lake via beside kali temple Ch 500.00-975.00 SWD Leads to Handrahalli Lake in Ward No 40.</t>
  </si>
  <si>
    <t>040-16-000042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</si>
</sst>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tabSelected="1" workbookViewId="0">
      <selection activeCell="A2" sqref="A2:XFD91"/>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353</v>
      </c>
      <c r="B2" s="13" t="s">
        <v>47</v>
      </c>
      <c r="C2" s="13">
        <v>43200</v>
      </c>
      <c r="D2" s="5">
        <v>40</v>
      </c>
      <c r="E2" s="6" t="s">
        <v>60</v>
      </c>
      <c r="F2" s="5" t="s">
        <v>194</v>
      </c>
      <c r="G2" s="6" t="s">
        <v>193</v>
      </c>
      <c r="H2" s="5" t="str">
        <f>"000217"</f>
        <v>000217</v>
      </c>
      <c r="I2" s="4">
        <v>42424</v>
      </c>
      <c r="J2" s="5" t="str">
        <f>"000197"</f>
        <v>000197</v>
      </c>
      <c r="K2" s="4">
        <v>42667</v>
      </c>
      <c r="L2" s="5" t="str">
        <f>"000401"</f>
        <v>000401</v>
      </c>
      <c r="M2" s="4">
        <v>42704</v>
      </c>
      <c r="N2" s="5">
        <v>16</v>
      </c>
      <c r="O2" s="5" t="str">
        <f>""</f>
        <v/>
      </c>
      <c r="P2" s="4"/>
      <c r="Q2" s="7">
        <v>6.7785500000000001</v>
      </c>
      <c r="R2" s="7">
        <v>0.41349999999999998</v>
      </c>
      <c r="S2" s="7">
        <v>6.3650500000000001</v>
      </c>
      <c r="T2" s="5">
        <v>9</v>
      </c>
      <c r="U2" s="4">
        <v>43200</v>
      </c>
      <c r="V2" s="5">
        <v>9731449749</v>
      </c>
      <c r="W2" s="6" t="s">
        <v>192</v>
      </c>
      <c r="X2" s="5" t="s">
        <v>31</v>
      </c>
      <c r="Y2" s="6" t="s">
        <v>32</v>
      </c>
      <c r="Z2" s="5" t="s">
        <v>56</v>
      </c>
      <c r="AA2" s="6" t="s">
        <v>55</v>
      </c>
      <c r="AB2" s="7">
        <v>6.7785499999999999E-2</v>
      </c>
      <c r="AD2" s="8"/>
      <c r="AF2" s="8"/>
      <c r="AG2" s="8"/>
    </row>
    <row r="3" spans="1:33" x14ac:dyDescent="0.2">
      <c r="A3" s="12">
        <v>354</v>
      </c>
      <c r="B3" s="13" t="s">
        <v>47</v>
      </c>
      <c r="C3" s="13">
        <v>43200</v>
      </c>
      <c r="D3" s="5">
        <v>40</v>
      </c>
      <c r="E3" s="6" t="s">
        <v>60</v>
      </c>
      <c r="F3" s="5" t="s">
        <v>273</v>
      </c>
      <c r="G3" s="6" t="s">
        <v>272</v>
      </c>
      <c r="H3" s="5" t="str">
        <f>"000011"</f>
        <v>000011</v>
      </c>
      <c r="I3" s="4">
        <v>42895</v>
      </c>
      <c r="J3" s="5" t="str">
        <f>"000003"</f>
        <v>000003</v>
      </c>
      <c r="K3" s="4">
        <v>42886</v>
      </c>
      <c r="L3" s="5" t="str">
        <f>"000028"</f>
        <v>000028</v>
      </c>
      <c r="M3" s="4">
        <v>42886</v>
      </c>
      <c r="N3" s="5">
        <v>16</v>
      </c>
      <c r="O3" s="5" t="str">
        <f>"003421"</f>
        <v>003421</v>
      </c>
      <c r="P3" s="4">
        <v>42908</v>
      </c>
      <c r="Q3" s="7">
        <v>8.8800000000000008</v>
      </c>
      <c r="R3" s="7">
        <v>0.88800000000000001</v>
      </c>
      <c r="S3" s="7">
        <v>7.992</v>
      </c>
      <c r="T3" s="5">
        <v>13</v>
      </c>
      <c r="U3" s="4">
        <v>43200</v>
      </c>
      <c r="V3" s="5">
        <v>9844004676</v>
      </c>
      <c r="W3" s="6" t="s">
        <v>271</v>
      </c>
      <c r="X3" s="5" t="s">
        <v>39</v>
      </c>
      <c r="Y3" s="6" t="s">
        <v>40</v>
      </c>
      <c r="Z3" s="5" t="s">
        <v>167</v>
      </c>
      <c r="AA3" s="6" t="s">
        <v>166</v>
      </c>
      <c r="AB3" s="7">
        <v>8.8800000000000004E-2</v>
      </c>
      <c r="AD3" s="8"/>
      <c r="AF3" s="8"/>
      <c r="AG3" s="8"/>
    </row>
    <row r="4" spans="1:33" x14ac:dyDescent="0.2">
      <c r="A4" s="12">
        <v>355</v>
      </c>
      <c r="B4" s="13" t="s">
        <v>47</v>
      </c>
      <c r="C4" s="13">
        <v>43200</v>
      </c>
      <c r="D4" s="5">
        <v>40</v>
      </c>
      <c r="E4" s="6" t="s">
        <v>60</v>
      </c>
      <c r="F4" s="5" t="s">
        <v>270</v>
      </c>
      <c r="G4" s="6" t="s">
        <v>269</v>
      </c>
      <c r="H4" s="5" t="str">
        <f>"000078"</f>
        <v>000078</v>
      </c>
      <c r="I4" s="4">
        <v>43064</v>
      </c>
      <c r="J4" s="5" t="str">
        <f>"000113"</f>
        <v>000113</v>
      </c>
      <c r="K4" s="4">
        <v>43185</v>
      </c>
      <c r="L4" s="5" t="str">
        <f>"000431"</f>
        <v>000431</v>
      </c>
      <c r="M4" s="4">
        <v>43185</v>
      </c>
      <c r="N4" s="5">
        <v>17</v>
      </c>
      <c r="O4" s="5" t="str">
        <f>"000440"</f>
        <v>000440</v>
      </c>
      <c r="P4" s="4">
        <v>43199</v>
      </c>
      <c r="Q4" s="7">
        <v>10.74982</v>
      </c>
      <c r="R4" s="7">
        <v>0.22575000000000001</v>
      </c>
      <c r="S4" s="7">
        <v>10.52407</v>
      </c>
      <c r="T4" s="5">
        <v>13</v>
      </c>
      <c r="U4" s="4">
        <v>43200</v>
      </c>
      <c r="V4" s="5">
        <v>9986020978</v>
      </c>
      <c r="W4" s="6" t="s">
        <v>268</v>
      </c>
      <c r="X4" s="5" t="s">
        <v>39</v>
      </c>
      <c r="Y4" s="6" t="s">
        <v>40</v>
      </c>
      <c r="Z4" s="5" t="s">
        <v>56</v>
      </c>
      <c r="AA4" s="6" t="s">
        <v>55</v>
      </c>
      <c r="AB4" s="7">
        <v>0.1074982</v>
      </c>
      <c r="AD4" s="8"/>
      <c r="AF4" s="8"/>
      <c r="AG4" s="8"/>
    </row>
    <row r="5" spans="1:33" x14ac:dyDescent="0.2">
      <c r="A5" s="12">
        <v>696</v>
      </c>
      <c r="B5" s="13" t="s">
        <v>47</v>
      </c>
      <c r="C5" s="13">
        <v>43216</v>
      </c>
      <c r="D5" s="5">
        <v>40</v>
      </c>
      <c r="E5" s="6" t="s">
        <v>60</v>
      </c>
      <c r="F5" s="5" t="s">
        <v>267</v>
      </c>
      <c r="G5" s="6" t="s">
        <v>266</v>
      </c>
      <c r="H5" s="5" t="str">
        <f>"000084"</f>
        <v>000084</v>
      </c>
      <c r="I5" s="4">
        <v>40085</v>
      </c>
      <c r="J5" s="5" t="str">
        <f>"000194"</f>
        <v>000194</v>
      </c>
      <c r="K5" s="4">
        <v>42667</v>
      </c>
      <c r="L5" s="5" t="str">
        <f>"000318"</f>
        <v>000318</v>
      </c>
      <c r="M5" s="4">
        <v>42685</v>
      </c>
      <c r="N5" s="5">
        <v>13</v>
      </c>
      <c r="O5" s="5" t="str">
        <f>"000690"</f>
        <v>000690</v>
      </c>
      <c r="P5" s="4">
        <v>43215</v>
      </c>
      <c r="Q5" s="7">
        <v>15.528510000000001</v>
      </c>
      <c r="R5" s="7">
        <v>2.0727000000000002</v>
      </c>
      <c r="S5" s="7">
        <v>13.45581</v>
      </c>
      <c r="T5" s="5">
        <v>28</v>
      </c>
      <c r="U5" s="4">
        <v>43216</v>
      </c>
      <c r="V5" s="5">
        <v>9066658595</v>
      </c>
      <c r="W5" s="6" t="s">
        <v>265</v>
      </c>
      <c r="X5" s="5" t="s">
        <v>264</v>
      </c>
      <c r="Y5" s="6" t="s">
        <v>263</v>
      </c>
      <c r="Z5" s="5" t="s">
        <v>56</v>
      </c>
      <c r="AA5" s="6" t="s">
        <v>55</v>
      </c>
      <c r="AB5" s="7">
        <v>0.15528510000000001</v>
      </c>
      <c r="AD5" s="8"/>
      <c r="AF5" s="8"/>
      <c r="AG5" s="8"/>
    </row>
    <row r="6" spans="1:33" x14ac:dyDescent="0.2">
      <c r="A6" s="12">
        <v>697</v>
      </c>
      <c r="B6" s="13" t="s">
        <v>47</v>
      </c>
      <c r="C6" s="13">
        <v>43216</v>
      </c>
      <c r="D6" s="5">
        <v>40</v>
      </c>
      <c r="E6" s="6" t="s">
        <v>60</v>
      </c>
      <c r="F6" s="5" t="s">
        <v>262</v>
      </c>
      <c r="G6" s="6" t="s">
        <v>261</v>
      </c>
      <c r="H6" s="5" t="str">
        <f>"000141"</f>
        <v>000141</v>
      </c>
      <c r="I6" s="4">
        <v>42461</v>
      </c>
      <c r="J6" s="5" t="str">
        <f>"000195"</f>
        <v>000195</v>
      </c>
      <c r="K6" s="4">
        <v>42671</v>
      </c>
      <c r="L6" s="5" t="str">
        <f>"000320"</f>
        <v>000320</v>
      </c>
      <c r="M6" s="4">
        <v>42685</v>
      </c>
      <c r="N6" s="5">
        <v>14</v>
      </c>
      <c r="O6" s="5" t="str">
        <f>"000691"</f>
        <v>000691</v>
      </c>
      <c r="P6" s="4">
        <v>43215</v>
      </c>
      <c r="Q6" s="7">
        <v>20.97466</v>
      </c>
      <c r="R6" s="7">
        <v>1.5217700000000001</v>
      </c>
      <c r="S6" s="7">
        <v>19.45289</v>
      </c>
      <c r="T6" s="5">
        <v>28</v>
      </c>
      <c r="U6" s="4">
        <v>43216</v>
      </c>
      <c r="V6" s="5">
        <v>9066658595</v>
      </c>
      <c r="W6" s="6" t="s">
        <v>260</v>
      </c>
      <c r="X6" s="5" t="s">
        <v>31</v>
      </c>
      <c r="Y6" s="6" t="s">
        <v>32</v>
      </c>
      <c r="Z6" s="5" t="s">
        <v>56</v>
      </c>
      <c r="AA6" s="6" t="s">
        <v>55</v>
      </c>
      <c r="AB6" s="7">
        <v>0.20974660000000001</v>
      </c>
      <c r="AD6" s="8"/>
      <c r="AF6" s="8"/>
      <c r="AG6" s="8"/>
    </row>
    <row r="7" spans="1:33" x14ac:dyDescent="0.2">
      <c r="A7" s="12">
        <v>698</v>
      </c>
      <c r="B7" s="13" t="s">
        <v>47</v>
      </c>
      <c r="C7" s="13">
        <v>43216</v>
      </c>
      <c r="D7" s="5">
        <v>40</v>
      </c>
      <c r="E7" s="6" t="s">
        <v>60</v>
      </c>
      <c r="F7" s="5" t="s">
        <v>259</v>
      </c>
      <c r="G7" s="6" t="s">
        <v>258</v>
      </c>
      <c r="H7" s="5" t="str">
        <f>"000158"</f>
        <v>000158</v>
      </c>
      <c r="I7" s="4">
        <v>42662</v>
      </c>
      <c r="J7" s="5" t="str">
        <f>""</f>
        <v/>
      </c>
      <c r="K7" s="4">
        <v>197</v>
      </c>
      <c r="L7" s="5" t="str">
        <f>"000321"</f>
        <v>000321</v>
      </c>
      <c r="M7" s="4">
        <v>42685</v>
      </c>
      <c r="N7" s="5">
        <v>15</v>
      </c>
      <c r="O7" s="5" t="str">
        <f>"000692"</f>
        <v>000692</v>
      </c>
      <c r="P7" s="4">
        <v>43215</v>
      </c>
      <c r="Q7" s="7">
        <v>9.5654900000000005</v>
      </c>
      <c r="R7" s="7">
        <v>0.70523000000000002</v>
      </c>
      <c r="S7" s="7">
        <v>8.8602600000000002</v>
      </c>
      <c r="T7" s="5">
        <v>28</v>
      </c>
      <c r="U7" s="4">
        <v>43216</v>
      </c>
      <c r="V7" s="5">
        <v>9066658595</v>
      </c>
      <c r="W7" s="6" t="s">
        <v>257</v>
      </c>
      <c r="X7" s="5" t="s">
        <v>31</v>
      </c>
      <c r="Y7" s="6" t="s">
        <v>32</v>
      </c>
      <c r="Z7" s="5" t="s">
        <v>56</v>
      </c>
      <c r="AA7" s="6" t="s">
        <v>55</v>
      </c>
      <c r="AB7" s="7">
        <v>9.5654900000000001E-2</v>
      </c>
      <c r="AD7" s="8"/>
      <c r="AF7" s="8"/>
      <c r="AG7" s="8"/>
    </row>
    <row r="8" spans="1:33" x14ac:dyDescent="0.2">
      <c r="A8" s="12">
        <v>860</v>
      </c>
      <c r="B8" s="13" t="s">
        <v>37</v>
      </c>
      <c r="C8" s="13">
        <v>43227</v>
      </c>
      <c r="D8" s="5">
        <v>40</v>
      </c>
      <c r="E8" s="6" t="s">
        <v>60</v>
      </c>
      <c r="F8" s="5" t="s">
        <v>73</v>
      </c>
      <c r="G8" s="6" t="s">
        <v>72</v>
      </c>
      <c r="H8" s="5" t="str">
        <f>"000072"</f>
        <v>000072</v>
      </c>
      <c r="I8" s="4">
        <v>42602</v>
      </c>
      <c r="J8" s="5" t="str">
        <f>"000222"</f>
        <v>000222</v>
      </c>
      <c r="K8" s="4">
        <v>42768</v>
      </c>
      <c r="L8" s="5" t="str">
        <f>"000436"</f>
        <v>000436</v>
      </c>
      <c r="M8" s="4">
        <v>42772</v>
      </c>
      <c r="N8" s="5">
        <v>17</v>
      </c>
      <c r="O8" s="5" t="str">
        <f>"008137"</f>
        <v>008137</v>
      </c>
      <c r="P8" s="4">
        <v>42804</v>
      </c>
      <c r="Q8" s="7">
        <v>575.72375999999997</v>
      </c>
      <c r="R8" s="7">
        <v>20.985040000000001</v>
      </c>
      <c r="S8" s="7">
        <v>554.73871999999994</v>
      </c>
      <c r="T8" s="5">
        <v>41</v>
      </c>
      <c r="U8" s="4">
        <v>43227</v>
      </c>
      <c r="V8" s="5">
        <v>9448450661</v>
      </c>
      <c r="W8" s="6" t="s">
        <v>71</v>
      </c>
      <c r="X8" s="5" t="s">
        <v>28</v>
      </c>
      <c r="Y8" s="6" t="s">
        <v>29</v>
      </c>
      <c r="Z8" s="5" t="s">
        <v>56</v>
      </c>
      <c r="AA8" s="6" t="s">
        <v>55</v>
      </c>
      <c r="AB8" s="7">
        <v>5.7572375999999998</v>
      </c>
      <c r="AD8" s="8"/>
      <c r="AF8" s="8"/>
      <c r="AG8" s="8"/>
    </row>
    <row r="9" spans="1:33" x14ac:dyDescent="0.2">
      <c r="A9" s="12">
        <v>937</v>
      </c>
      <c r="B9" s="13" t="s">
        <v>37</v>
      </c>
      <c r="C9" s="13">
        <v>43229</v>
      </c>
      <c r="D9" s="5">
        <v>40</v>
      </c>
      <c r="E9" s="6" t="s">
        <v>60</v>
      </c>
      <c r="F9" s="5" t="s">
        <v>256</v>
      </c>
      <c r="G9" s="6" t="s">
        <v>255</v>
      </c>
      <c r="H9" s="5" t="str">
        <f>""</f>
        <v/>
      </c>
      <c r="I9" s="4">
        <v>87</v>
      </c>
      <c r="J9" s="5" t="str">
        <f>"000028"</f>
        <v>000028</v>
      </c>
      <c r="K9" s="4">
        <v>43005</v>
      </c>
      <c r="L9" s="5" t="str">
        <f>"000154"</f>
        <v>000154</v>
      </c>
      <c r="M9" s="4">
        <v>43005</v>
      </c>
      <c r="N9" s="5">
        <v>17</v>
      </c>
      <c r="O9" s="5" t="str">
        <f>"006720"</f>
        <v>006720</v>
      </c>
      <c r="P9" s="4">
        <v>43018</v>
      </c>
      <c r="Q9" s="7">
        <v>0.4945</v>
      </c>
      <c r="R9" s="7">
        <v>4.9450000000000001E-2</v>
      </c>
      <c r="S9" s="7">
        <v>0.44505</v>
      </c>
      <c r="T9" s="5">
        <v>46</v>
      </c>
      <c r="U9" s="4">
        <v>43229</v>
      </c>
      <c r="V9" s="5">
        <v>9538136111</v>
      </c>
      <c r="W9" s="6" t="s">
        <v>248</v>
      </c>
      <c r="X9" s="5" t="s">
        <v>39</v>
      </c>
      <c r="Y9" s="6" t="s">
        <v>40</v>
      </c>
      <c r="Z9" s="5" t="s">
        <v>56</v>
      </c>
      <c r="AA9" s="6" t="s">
        <v>55</v>
      </c>
      <c r="AB9" s="7">
        <v>4.9449999999999997E-3</v>
      </c>
      <c r="AD9" s="8"/>
      <c r="AF9" s="8"/>
      <c r="AG9" s="8"/>
    </row>
    <row r="10" spans="1:33" x14ac:dyDescent="0.2">
      <c r="A10" s="12">
        <v>938</v>
      </c>
      <c r="B10" s="13" t="s">
        <v>37</v>
      </c>
      <c r="C10" s="13">
        <v>43229</v>
      </c>
      <c r="D10" s="5">
        <v>40</v>
      </c>
      <c r="E10" s="6" t="s">
        <v>60</v>
      </c>
      <c r="F10" s="5" t="s">
        <v>254</v>
      </c>
      <c r="G10" s="6" t="s">
        <v>253</v>
      </c>
      <c r="H10" s="5" t="str">
        <f>""</f>
        <v/>
      </c>
      <c r="I10" s="4">
        <v>90</v>
      </c>
      <c r="J10" s="5" t="str">
        <f>"000016"</f>
        <v>000016</v>
      </c>
      <c r="K10" s="4">
        <v>42967</v>
      </c>
      <c r="L10" s="5" t="str">
        <f>"000032"</f>
        <v>000032</v>
      </c>
      <c r="M10" s="4">
        <v>42970</v>
      </c>
      <c r="N10" s="5">
        <v>17</v>
      </c>
      <c r="O10" s="5" t="str">
        <f>"005286"</f>
        <v>005286</v>
      </c>
      <c r="P10" s="4">
        <v>42979</v>
      </c>
      <c r="Q10" s="7">
        <v>0.98899999999999999</v>
      </c>
      <c r="R10" s="7">
        <v>9.8900000000000002E-2</v>
      </c>
      <c r="S10" s="7">
        <v>0.8901</v>
      </c>
      <c r="T10" s="5">
        <v>46</v>
      </c>
      <c r="U10" s="4">
        <v>43229</v>
      </c>
      <c r="V10" s="5">
        <v>9538136111</v>
      </c>
      <c r="W10" s="6" t="s">
        <v>248</v>
      </c>
      <c r="X10" s="5" t="s">
        <v>39</v>
      </c>
      <c r="Y10" s="6" t="s">
        <v>40</v>
      </c>
      <c r="Z10" s="5" t="s">
        <v>56</v>
      </c>
      <c r="AA10" s="6" t="s">
        <v>55</v>
      </c>
      <c r="AB10" s="7">
        <v>9.8899999999999995E-3</v>
      </c>
      <c r="AD10" s="8"/>
      <c r="AF10" s="8"/>
      <c r="AG10" s="8"/>
    </row>
    <row r="11" spans="1:33" x14ac:dyDescent="0.2">
      <c r="A11" s="12">
        <v>939</v>
      </c>
      <c r="B11" s="13" t="s">
        <v>37</v>
      </c>
      <c r="C11" s="13">
        <v>43229</v>
      </c>
      <c r="D11" s="5">
        <v>40</v>
      </c>
      <c r="E11" s="6" t="s">
        <v>60</v>
      </c>
      <c r="F11" s="5" t="s">
        <v>252</v>
      </c>
      <c r="G11" s="6" t="s">
        <v>251</v>
      </c>
      <c r="H11" s="5" t="str">
        <f>"000091"</f>
        <v>000091</v>
      </c>
      <c r="I11" s="4">
        <v>42888</v>
      </c>
      <c r="J11" s="5" t="str">
        <f>"000082"</f>
        <v>000082</v>
      </c>
      <c r="K11" s="4">
        <v>43095</v>
      </c>
      <c r="L11" s="5" t="str">
        <f>"000287"</f>
        <v>000287</v>
      </c>
      <c r="M11" s="4">
        <v>43095</v>
      </c>
      <c r="N11" s="5">
        <v>17</v>
      </c>
      <c r="O11" s="5" t="str">
        <f>"008827"</f>
        <v>008827</v>
      </c>
      <c r="P11" s="4">
        <v>43103</v>
      </c>
      <c r="Q11" s="7">
        <v>0.98899999999999999</v>
      </c>
      <c r="R11" s="7">
        <v>9.8900000000000002E-2</v>
      </c>
      <c r="S11" s="7">
        <v>0.8901</v>
      </c>
      <c r="T11" s="5">
        <v>46</v>
      </c>
      <c r="U11" s="4">
        <v>43229</v>
      </c>
      <c r="V11" s="5">
        <v>9538136111</v>
      </c>
      <c r="W11" s="6" t="s">
        <v>248</v>
      </c>
      <c r="X11" s="5" t="s">
        <v>39</v>
      </c>
      <c r="Y11" s="6" t="s">
        <v>40</v>
      </c>
      <c r="Z11" s="5" t="s">
        <v>56</v>
      </c>
      <c r="AA11" s="6" t="s">
        <v>55</v>
      </c>
      <c r="AB11" s="7">
        <v>9.8899999999999995E-3</v>
      </c>
      <c r="AD11" s="8"/>
      <c r="AF11" s="8"/>
      <c r="AG11" s="8"/>
    </row>
    <row r="12" spans="1:33" x14ac:dyDescent="0.2">
      <c r="A12" s="12">
        <v>940</v>
      </c>
      <c r="B12" s="13" t="s">
        <v>37</v>
      </c>
      <c r="C12" s="13">
        <v>43229</v>
      </c>
      <c r="D12" s="5">
        <v>40</v>
      </c>
      <c r="E12" s="6" t="s">
        <v>60</v>
      </c>
      <c r="F12" s="5" t="s">
        <v>250</v>
      </c>
      <c r="G12" s="6" t="s">
        <v>249</v>
      </c>
      <c r="H12" s="5" t="str">
        <f>"000089"</f>
        <v>000089</v>
      </c>
      <c r="I12" s="4">
        <v>42888</v>
      </c>
      <c r="J12" s="5" t="str">
        <f>"000015"</f>
        <v>000015</v>
      </c>
      <c r="K12" s="4">
        <v>42967</v>
      </c>
      <c r="L12" s="5" t="str">
        <f>"000033"</f>
        <v>000033</v>
      </c>
      <c r="M12" s="4">
        <v>42970</v>
      </c>
      <c r="N12" s="5">
        <v>17</v>
      </c>
      <c r="O12" s="5" t="str">
        <f>"005285"</f>
        <v>005285</v>
      </c>
      <c r="P12" s="4">
        <v>42979</v>
      </c>
      <c r="Q12" s="7">
        <v>0.98899999999999999</v>
      </c>
      <c r="R12" s="7">
        <v>9.8900000000000002E-2</v>
      </c>
      <c r="S12" s="7">
        <v>0.8901</v>
      </c>
      <c r="T12" s="5">
        <v>46</v>
      </c>
      <c r="U12" s="4">
        <v>43229</v>
      </c>
      <c r="V12" s="5">
        <v>9538136111</v>
      </c>
      <c r="W12" s="6" t="s">
        <v>248</v>
      </c>
      <c r="X12" s="5" t="s">
        <v>39</v>
      </c>
      <c r="Y12" s="6" t="s">
        <v>40</v>
      </c>
      <c r="Z12" s="5" t="s">
        <v>56</v>
      </c>
      <c r="AA12" s="6" t="s">
        <v>55</v>
      </c>
      <c r="AB12" s="7">
        <v>9.8899999999999995E-3</v>
      </c>
      <c r="AD12" s="8"/>
      <c r="AF12" s="8"/>
      <c r="AG12" s="8"/>
    </row>
    <row r="13" spans="1:33" x14ac:dyDescent="0.2">
      <c r="A13" s="12">
        <v>941</v>
      </c>
      <c r="B13" s="13" t="s">
        <v>37</v>
      </c>
      <c r="C13" s="13">
        <v>43229</v>
      </c>
      <c r="D13" s="5">
        <v>40</v>
      </c>
      <c r="E13" s="6" t="s">
        <v>60</v>
      </c>
      <c r="F13" s="5" t="s">
        <v>73</v>
      </c>
      <c r="G13" s="6" t="s">
        <v>72</v>
      </c>
      <c r="H13" s="5" t="str">
        <f>"000072"</f>
        <v>000072</v>
      </c>
      <c r="I13" s="4">
        <v>42602</v>
      </c>
      <c r="J13" s="5" t="str">
        <f>"000222"</f>
        <v>000222</v>
      </c>
      <c r="K13" s="4">
        <v>42768</v>
      </c>
      <c r="L13" s="5" t="str">
        <f>"000436"</f>
        <v>000436</v>
      </c>
      <c r="M13" s="4">
        <v>42772</v>
      </c>
      <c r="N13" s="5">
        <v>17</v>
      </c>
      <c r="O13" s="5" t="str">
        <f>"008137"</f>
        <v>008137</v>
      </c>
      <c r="P13" s="4">
        <v>42804</v>
      </c>
      <c r="Q13" s="7">
        <v>165.96558999999999</v>
      </c>
      <c r="R13" s="7">
        <v>6.0079399999999996</v>
      </c>
      <c r="S13" s="7">
        <v>159.95765</v>
      </c>
      <c r="T13" s="5">
        <v>47</v>
      </c>
      <c r="U13" s="4">
        <v>43229</v>
      </c>
      <c r="V13" s="5">
        <v>9448450661</v>
      </c>
      <c r="W13" s="6" t="s">
        <v>71</v>
      </c>
      <c r="X13" s="5" t="s">
        <v>28</v>
      </c>
      <c r="Y13" s="6" t="s">
        <v>29</v>
      </c>
      <c r="Z13" s="5" t="s">
        <v>56</v>
      </c>
      <c r="AA13" s="6" t="s">
        <v>55</v>
      </c>
      <c r="AB13" s="7">
        <v>1.6596559</v>
      </c>
      <c r="AD13" s="8"/>
      <c r="AF13" s="8"/>
      <c r="AG13" s="8"/>
    </row>
    <row r="14" spans="1:33" x14ac:dyDescent="0.2">
      <c r="A14" s="12">
        <v>942</v>
      </c>
      <c r="B14" s="13" t="s">
        <v>37</v>
      </c>
      <c r="C14" s="13">
        <v>43229</v>
      </c>
      <c r="D14" s="5">
        <v>40</v>
      </c>
      <c r="E14" s="6" t="s">
        <v>60</v>
      </c>
      <c r="F14" s="5" t="s">
        <v>73</v>
      </c>
      <c r="G14" s="6" t="s">
        <v>72</v>
      </c>
      <c r="H14" s="5" t="str">
        <f>"000072"</f>
        <v>000072</v>
      </c>
      <c r="I14" s="4">
        <v>42602</v>
      </c>
      <c r="J14" s="5" t="str">
        <f>"000222"</f>
        <v>000222</v>
      </c>
      <c r="K14" s="4">
        <v>42768</v>
      </c>
      <c r="L14" s="5" t="str">
        <f>"000436"</f>
        <v>000436</v>
      </c>
      <c r="M14" s="4">
        <v>42772</v>
      </c>
      <c r="N14" s="5">
        <v>17</v>
      </c>
      <c r="O14" s="5" t="str">
        <f>"008137"</f>
        <v>008137</v>
      </c>
      <c r="P14" s="4">
        <v>42804</v>
      </c>
      <c r="Q14" s="7">
        <v>266.06760000000003</v>
      </c>
      <c r="R14" s="7">
        <v>9.5650999999999993</v>
      </c>
      <c r="S14" s="7">
        <v>256.5025</v>
      </c>
      <c r="T14" s="5">
        <v>47</v>
      </c>
      <c r="U14" s="4">
        <v>43229</v>
      </c>
      <c r="V14" s="5">
        <v>9448450661</v>
      </c>
      <c r="W14" s="6" t="s">
        <v>71</v>
      </c>
      <c r="X14" s="5" t="s">
        <v>28</v>
      </c>
      <c r="Y14" s="6" t="s">
        <v>29</v>
      </c>
      <c r="Z14" s="5" t="s">
        <v>56</v>
      </c>
      <c r="AA14" s="6" t="s">
        <v>55</v>
      </c>
      <c r="AB14" s="7">
        <v>2.6606760000000005</v>
      </c>
      <c r="AD14" s="8"/>
      <c r="AF14" s="8"/>
      <c r="AG14" s="8"/>
    </row>
    <row r="15" spans="1:33" x14ac:dyDescent="0.2">
      <c r="A15" s="12">
        <v>1713</v>
      </c>
      <c r="B15" s="13" t="s">
        <v>36</v>
      </c>
      <c r="C15" s="13">
        <v>43253</v>
      </c>
      <c r="D15" s="5">
        <v>40</v>
      </c>
      <c r="E15" s="6" t="s">
        <v>60</v>
      </c>
      <c r="F15" s="5" t="s">
        <v>247</v>
      </c>
      <c r="G15" s="6" t="s">
        <v>246</v>
      </c>
      <c r="H15" s="5" t="str">
        <f>"000369"</f>
        <v>000369</v>
      </c>
      <c r="I15" s="4">
        <v>43168</v>
      </c>
      <c r="J15" s="5" t="str">
        <f>"000035"</f>
        <v>000035</v>
      </c>
      <c r="K15" s="4">
        <v>43224</v>
      </c>
      <c r="L15" s="5" t="str">
        <f>"000087"</f>
        <v>000087</v>
      </c>
      <c r="M15" s="4">
        <v>43228</v>
      </c>
      <c r="N15" s="5">
        <v>18</v>
      </c>
      <c r="O15" s="5" t="str">
        <f>"001792"</f>
        <v>001792</v>
      </c>
      <c r="P15" s="4">
        <v>43244</v>
      </c>
      <c r="Q15" s="7">
        <v>49.058480000000003</v>
      </c>
      <c r="R15" s="7">
        <v>4.3337399999999997</v>
      </c>
      <c r="S15" s="7">
        <v>44.724739999999997</v>
      </c>
      <c r="T15" s="5">
        <v>68</v>
      </c>
      <c r="U15" s="4">
        <v>43253</v>
      </c>
      <c r="V15" s="5">
        <v>9845235505</v>
      </c>
      <c r="W15" s="6" t="s">
        <v>79</v>
      </c>
      <c r="X15" s="5" t="s">
        <v>49</v>
      </c>
      <c r="Y15" s="6" t="s">
        <v>48</v>
      </c>
      <c r="Z15" s="5" t="s">
        <v>56</v>
      </c>
      <c r="AA15" s="6" t="s">
        <v>55</v>
      </c>
      <c r="AB15" s="7">
        <v>0.49058480000000004</v>
      </c>
      <c r="AD15" s="8"/>
      <c r="AF15" s="8"/>
      <c r="AG15" s="8"/>
    </row>
    <row r="16" spans="1:33" x14ac:dyDescent="0.2">
      <c r="A16" s="12">
        <v>1714</v>
      </c>
      <c r="B16" s="13" t="s">
        <v>36</v>
      </c>
      <c r="C16" s="13">
        <v>43253</v>
      </c>
      <c r="D16" s="5">
        <v>40</v>
      </c>
      <c r="E16" s="6" t="s">
        <v>60</v>
      </c>
      <c r="F16" s="5" t="s">
        <v>245</v>
      </c>
      <c r="G16" s="6" t="s">
        <v>244</v>
      </c>
      <c r="H16" s="5" t="str">
        <f>"000372"</f>
        <v>000372</v>
      </c>
      <c r="I16" s="4">
        <v>43168</v>
      </c>
      <c r="J16" s="5" t="str">
        <f>"000033"</f>
        <v>000033</v>
      </c>
      <c r="K16" s="4">
        <v>43224</v>
      </c>
      <c r="L16" s="5" t="str">
        <f>"000089"</f>
        <v>000089</v>
      </c>
      <c r="M16" s="4">
        <v>43228</v>
      </c>
      <c r="N16" s="5">
        <v>18</v>
      </c>
      <c r="O16" s="5" t="str">
        <f>"001793"</f>
        <v>001793</v>
      </c>
      <c r="P16" s="4">
        <v>43244</v>
      </c>
      <c r="Q16" s="7">
        <v>49.099069999999998</v>
      </c>
      <c r="R16" s="7">
        <v>4.2990199999999996</v>
      </c>
      <c r="S16" s="7">
        <v>44.800049999999999</v>
      </c>
      <c r="T16" s="5">
        <v>68</v>
      </c>
      <c r="U16" s="4">
        <v>43253</v>
      </c>
      <c r="V16" s="5">
        <v>9845235505</v>
      </c>
      <c r="W16" s="6" t="s">
        <v>79</v>
      </c>
      <c r="X16" s="5" t="s">
        <v>49</v>
      </c>
      <c r="Y16" s="6" t="s">
        <v>48</v>
      </c>
      <c r="Z16" s="5" t="s">
        <v>56</v>
      </c>
      <c r="AA16" s="6" t="s">
        <v>55</v>
      </c>
      <c r="AB16" s="7">
        <v>0.4909907</v>
      </c>
      <c r="AD16" s="8"/>
      <c r="AF16" s="8"/>
      <c r="AG16" s="8"/>
    </row>
    <row r="17" spans="1:33" x14ac:dyDescent="0.2">
      <c r="A17" s="12">
        <v>1715</v>
      </c>
      <c r="B17" s="13" t="s">
        <v>36</v>
      </c>
      <c r="C17" s="13">
        <v>43253</v>
      </c>
      <c r="D17" s="5">
        <v>40</v>
      </c>
      <c r="E17" s="6" t="s">
        <v>60</v>
      </c>
      <c r="F17" s="5" t="s">
        <v>243</v>
      </c>
      <c r="G17" s="6" t="s">
        <v>242</v>
      </c>
      <c r="H17" s="5" t="str">
        <f>"000370"</f>
        <v>000370</v>
      </c>
      <c r="I17" s="4">
        <v>43168</v>
      </c>
      <c r="J17" s="5" t="str">
        <f>"000036"</f>
        <v>000036</v>
      </c>
      <c r="K17" s="4">
        <v>43224</v>
      </c>
      <c r="L17" s="5" t="str">
        <f>"000090"</f>
        <v>000090</v>
      </c>
      <c r="M17" s="4">
        <v>43228</v>
      </c>
      <c r="N17" s="5">
        <v>18</v>
      </c>
      <c r="O17" s="5" t="str">
        <f>"001794"</f>
        <v>001794</v>
      </c>
      <c r="P17" s="4">
        <v>43244</v>
      </c>
      <c r="Q17" s="7">
        <v>48.964030000000001</v>
      </c>
      <c r="R17" s="7">
        <v>4.3260800000000001</v>
      </c>
      <c r="S17" s="7">
        <v>44.637949999999996</v>
      </c>
      <c r="T17" s="5">
        <v>68</v>
      </c>
      <c r="U17" s="4">
        <v>43253</v>
      </c>
      <c r="V17" s="5">
        <v>9845235505</v>
      </c>
      <c r="W17" s="6" t="s">
        <v>79</v>
      </c>
      <c r="X17" s="5" t="s">
        <v>49</v>
      </c>
      <c r="Y17" s="6" t="s">
        <v>48</v>
      </c>
      <c r="Z17" s="5" t="s">
        <v>56</v>
      </c>
      <c r="AA17" s="6" t="s">
        <v>55</v>
      </c>
      <c r="AB17" s="7">
        <v>0.48964030000000003</v>
      </c>
      <c r="AD17" s="8"/>
      <c r="AF17" s="8"/>
      <c r="AG17" s="8"/>
    </row>
    <row r="18" spans="1:33" x14ac:dyDescent="0.2">
      <c r="A18" s="12">
        <v>1716</v>
      </c>
      <c r="B18" s="13" t="s">
        <v>36</v>
      </c>
      <c r="C18" s="13">
        <v>43253</v>
      </c>
      <c r="D18" s="5">
        <v>40</v>
      </c>
      <c r="E18" s="6" t="s">
        <v>60</v>
      </c>
      <c r="F18" s="5" t="s">
        <v>241</v>
      </c>
      <c r="G18" s="6" t="s">
        <v>240</v>
      </c>
      <c r="H18" s="5" t="str">
        <f>"000373"</f>
        <v>000373</v>
      </c>
      <c r="I18" s="4">
        <v>43168</v>
      </c>
      <c r="J18" s="5" t="str">
        <f>"000038"</f>
        <v>000038</v>
      </c>
      <c r="K18" s="4">
        <v>43225</v>
      </c>
      <c r="L18" s="5" t="str">
        <f>"000091"</f>
        <v>000091</v>
      </c>
      <c r="M18" s="4">
        <v>43228</v>
      </c>
      <c r="N18" s="5">
        <v>18</v>
      </c>
      <c r="O18" s="5" t="str">
        <f>"001795"</f>
        <v>001795</v>
      </c>
      <c r="P18" s="4">
        <v>43244</v>
      </c>
      <c r="Q18" s="7">
        <v>48.929589999999997</v>
      </c>
      <c r="R18" s="7">
        <v>4.2853000000000003</v>
      </c>
      <c r="S18" s="7">
        <v>44.644289999999998</v>
      </c>
      <c r="T18" s="5">
        <v>68</v>
      </c>
      <c r="U18" s="4">
        <v>43253</v>
      </c>
      <c r="V18" s="5">
        <v>9845235505</v>
      </c>
      <c r="W18" s="6" t="s">
        <v>79</v>
      </c>
      <c r="X18" s="5" t="s">
        <v>49</v>
      </c>
      <c r="Y18" s="6" t="s">
        <v>48</v>
      </c>
      <c r="Z18" s="5" t="s">
        <v>56</v>
      </c>
      <c r="AA18" s="6" t="s">
        <v>55</v>
      </c>
      <c r="AB18" s="7">
        <v>0.48929589999999995</v>
      </c>
      <c r="AD18" s="8"/>
      <c r="AF18" s="8"/>
      <c r="AG18" s="8"/>
    </row>
    <row r="19" spans="1:33" x14ac:dyDescent="0.2">
      <c r="A19" s="12">
        <v>1717</v>
      </c>
      <c r="B19" s="13" t="s">
        <v>36</v>
      </c>
      <c r="C19" s="13">
        <v>43253</v>
      </c>
      <c r="D19" s="5">
        <v>40</v>
      </c>
      <c r="E19" s="6" t="s">
        <v>60</v>
      </c>
      <c r="F19" s="5" t="s">
        <v>239</v>
      </c>
      <c r="G19" s="6" t="s">
        <v>238</v>
      </c>
      <c r="H19" s="5" t="str">
        <f>"000371"</f>
        <v>000371</v>
      </c>
      <c r="I19" s="4">
        <v>43168</v>
      </c>
      <c r="J19" s="5" t="str">
        <f>"000037"</f>
        <v>000037</v>
      </c>
      <c r="K19" s="4">
        <v>43224</v>
      </c>
      <c r="L19" s="5" t="str">
        <f>"000092"</f>
        <v>000092</v>
      </c>
      <c r="M19" s="4">
        <v>43228</v>
      </c>
      <c r="N19" s="5">
        <v>18</v>
      </c>
      <c r="O19" s="5" t="str">
        <f>"001796"</f>
        <v>001796</v>
      </c>
      <c r="P19" s="4">
        <v>43244</v>
      </c>
      <c r="Q19" s="7">
        <v>49.100920000000002</v>
      </c>
      <c r="R19" s="7">
        <v>4.3221699999999998</v>
      </c>
      <c r="S19" s="7">
        <v>44.778750000000002</v>
      </c>
      <c r="T19" s="5">
        <v>68</v>
      </c>
      <c r="U19" s="4">
        <v>43253</v>
      </c>
      <c r="V19" s="5">
        <v>9845235505</v>
      </c>
      <c r="W19" s="6" t="s">
        <v>79</v>
      </c>
      <c r="X19" s="5" t="s">
        <v>49</v>
      </c>
      <c r="Y19" s="6" t="s">
        <v>48</v>
      </c>
      <c r="Z19" s="5" t="s">
        <v>56</v>
      </c>
      <c r="AA19" s="6" t="s">
        <v>55</v>
      </c>
      <c r="AB19" s="7">
        <v>0.49100920000000003</v>
      </c>
      <c r="AD19" s="8"/>
      <c r="AF19" s="8"/>
      <c r="AG19" s="8"/>
    </row>
    <row r="20" spans="1:33" x14ac:dyDescent="0.2">
      <c r="A20" s="12">
        <v>1718</v>
      </c>
      <c r="B20" s="13" t="s">
        <v>36</v>
      </c>
      <c r="C20" s="13">
        <v>43253</v>
      </c>
      <c r="D20" s="5">
        <v>40</v>
      </c>
      <c r="E20" s="6" t="s">
        <v>60</v>
      </c>
      <c r="F20" s="5" t="s">
        <v>237</v>
      </c>
      <c r="G20" s="6" t="s">
        <v>236</v>
      </c>
      <c r="H20" s="5" t="str">
        <f>"000367"</f>
        <v>000367</v>
      </c>
      <c r="I20" s="4">
        <v>43168</v>
      </c>
      <c r="J20" s="5" t="str">
        <f>"000039"</f>
        <v>000039</v>
      </c>
      <c r="K20" s="4">
        <v>43225</v>
      </c>
      <c r="L20" s="5" t="str">
        <f>"000093"</f>
        <v>000093</v>
      </c>
      <c r="M20" s="4">
        <v>43228</v>
      </c>
      <c r="N20" s="5">
        <v>18</v>
      </c>
      <c r="O20" s="5" t="str">
        <f>"001797"</f>
        <v>001797</v>
      </c>
      <c r="P20" s="4">
        <v>43244</v>
      </c>
      <c r="Q20" s="7">
        <v>49.097369999999998</v>
      </c>
      <c r="R20" s="7">
        <v>4.3548900000000001</v>
      </c>
      <c r="S20" s="7">
        <v>44.74248</v>
      </c>
      <c r="T20" s="5">
        <v>68</v>
      </c>
      <c r="U20" s="4">
        <v>43253</v>
      </c>
      <c r="V20" s="5">
        <v>9845235505</v>
      </c>
      <c r="W20" s="6" t="s">
        <v>79</v>
      </c>
      <c r="X20" s="5" t="s">
        <v>49</v>
      </c>
      <c r="Y20" s="6" t="s">
        <v>48</v>
      </c>
      <c r="Z20" s="5" t="s">
        <v>56</v>
      </c>
      <c r="AA20" s="6" t="s">
        <v>55</v>
      </c>
      <c r="AB20" s="7">
        <v>0.49097369999999996</v>
      </c>
      <c r="AD20" s="8"/>
      <c r="AF20" s="8"/>
      <c r="AG20" s="8"/>
    </row>
    <row r="21" spans="1:33" x14ac:dyDescent="0.2">
      <c r="A21" s="12">
        <v>1719</v>
      </c>
      <c r="B21" s="13" t="s">
        <v>36</v>
      </c>
      <c r="C21" s="13">
        <v>43253</v>
      </c>
      <c r="D21" s="5">
        <v>40</v>
      </c>
      <c r="E21" s="6" t="s">
        <v>60</v>
      </c>
      <c r="F21" s="5" t="s">
        <v>235</v>
      </c>
      <c r="G21" s="6" t="s">
        <v>234</v>
      </c>
      <c r="H21" s="5" t="str">
        <f>"000368"</f>
        <v>000368</v>
      </c>
      <c r="I21" s="4">
        <v>43168</v>
      </c>
      <c r="J21" s="5" t="str">
        <f>"000032"</f>
        <v>000032</v>
      </c>
      <c r="K21" s="4">
        <v>43224</v>
      </c>
      <c r="L21" s="5" t="str">
        <f>"000094"</f>
        <v>000094</v>
      </c>
      <c r="M21" s="4">
        <v>43228</v>
      </c>
      <c r="N21" s="5">
        <v>18</v>
      </c>
      <c r="O21" s="5" t="str">
        <f>"001798"</f>
        <v>001798</v>
      </c>
      <c r="P21" s="4">
        <v>43244</v>
      </c>
      <c r="Q21" s="7">
        <v>49.100540000000002</v>
      </c>
      <c r="R21" s="7">
        <v>4.3551399999999996</v>
      </c>
      <c r="S21" s="7">
        <v>44.745399999999997</v>
      </c>
      <c r="T21" s="5">
        <v>68</v>
      </c>
      <c r="U21" s="4">
        <v>43253</v>
      </c>
      <c r="V21" s="5">
        <v>9845235505</v>
      </c>
      <c r="W21" s="6" t="s">
        <v>79</v>
      </c>
      <c r="X21" s="5" t="s">
        <v>49</v>
      </c>
      <c r="Y21" s="6" t="s">
        <v>48</v>
      </c>
      <c r="Z21" s="5" t="s">
        <v>56</v>
      </c>
      <c r="AA21" s="6" t="s">
        <v>55</v>
      </c>
      <c r="AB21" s="7">
        <v>0.49100540000000004</v>
      </c>
      <c r="AD21" s="8"/>
      <c r="AF21" s="8"/>
      <c r="AG21" s="8"/>
    </row>
    <row r="22" spans="1:33" x14ac:dyDescent="0.2">
      <c r="A22" s="12">
        <v>1720</v>
      </c>
      <c r="B22" s="13" t="s">
        <v>36</v>
      </c>
      <c r="C22" s="13">
        <v>43253</v>
      </c>
      <c r="D22" s="5">
        <v>40</v>
      </c>
      <c r="E22" s="6" t="s">
        <v>60</v>
      </c>
      <c r="F22" s="5" t="s">
        <v>233</v>
      </c>
      <c r="G22" s="6" t="s">
        <v>232</v>
      </c>
      <c r="H22" s="5" t="str">
        <f>"000375"</f>
        <v>000375</v>
      </c>
      <c r="I22" s="4">
        <v>43168</v>
      </c>
      <c r="J22" s="5" t="str">
        <f>"000034"</f>
        <v>000034</v>
      </c>
      <c r="K22" s="4">
        <v>43224</v>
      </c>
      <c r="L22" s="5" t="str">
        <f>"000095"</f>
        <v>000095</v>
      </c>
      <c r="M22" s="4">
        <v>43228</v>
      </c>
      <c r="N22" s="5">
        <v>18</v>
      </c>
      <c r="O22" s="5" t="str">
        <f>"001799"</f>
        <v>001799</v>
      </c>
      <c r="P22" s="4">
        <v>43244</v>
      </c>
      <c r="Q22" s="7">
        <v>49.099960000000003</v>
      </c>
      <c r="R22" s="7">
        <v>4.3551000000000002</v>
      </c>
      <c r="S22" s="7">
        <v>44.744860000000003</v>
      </c>
      <c r="T22" s="5">
        <v>68</v>
      </c>
      <c r="U22" s="4">
        <v>43253</v>
      </c>
      <c r="V22" s="5">
        <v>9845235505</v>
      </c>
      <c r="W22" s="6" t="s">
        <v>79</v>
      </c>
      <c r="X22" s="5" t="s">
        <v>49</v>
      </c>
      <c r="Y22" s="6" t="s">
        <v>48</v>
      </c>
      <c r="Z22" s="5" t="s">
        <v>56</v>
      </c>
      <c r="AA22" s="6" t="s">
        <v>55</v>
      </c>
      <c r="AB22" s="7">
        <v>0.49099960000000004</v>
      </c>
      <c r="AD22" s="8"/>
      <c r="AF22" s="8"/>
      <c r="AG22" s="8"/>
    </row>
    <row r="23" spans="1:33" x14ac:dyDescent="0.2">
      <c r="A23" s="12">
        <v>1721</v>
      </c>
      <c r="B23" s="13" t="s">
        <v>36</v>
      </c>
      <c r="C23" s="13">
        <v>43253</v>
      </c>
      <c r="D23" s="5">
        <v>40</v>
      </c>
      <c r="E23" s="6" t="s">
        <v>60</v>
      </c>
      <c r="F23" s="5" t="s">
        <v>231</v>
      </c>
      <c r="G23" s="6" t="s">
        <v>230</v>
      </c>
      <c r="H23" s="5" t="str">
        <f>"000374"</f>
        <v>000374</v>
      </c>
      <c r="I23" s="4">
        <v>43168</v>
      </c>
      <c r="J23" s="5" t="str">
        <f>"000030"</f>
        <v>000030</v>
      </c>
      <c r="K23" s="4">
        <v>43223</v>
      </c>
      <c r="L23" s="5" t="str">
        <f>"000096"</f>
        <v>000096</v>
      </c>
      <c r="M23" s="4">
        <v>43228</v>
      </c>
      <c r="N23" s="5">
        <v>18</v>
      </c>
      <c r="O23" s="5" t="str">
        <f>"001800"</f>
        <v>001800</v>
      </c>
      <c r="P23" s="4">
        <v>43244</v>
      </c>
      <c r="Q23" s="7">
        <v>49.036369999999998</v>
      </c>
      <c r="R23" s="7">
        <v>4.3279500000000004</v>
      </c>
      <c r="S23" s="7">
        <v>44.708419999999997</v>
      </c>
      <c r="T23" s="5">
        <v>68</v>
      </c>
      <c r="U23" s="4">
        <v>43253</v>
      </c>
      <c r="V23" s="5">
        <v>9845235505</v>
      </c>
      <c r="W23" s="6" t="s">
        <v>79</v>
      </c>
      <c r="X23" s="5" t="s">
        <v>49</v>
      </c>
      <c r="Y23" s="6" t="s">
        <v>48</v>
      </c>
      <c r="Z23" s="5" t="s">
        <v>56</v>
      </c>
      <c r="AA23" s="6" t="s">
        <v>55</v>
      </c>
      <c r="AB23" s="7">
        <v>0.49036369999999996</v>
      </c>
      <c r="AD23" s="8"/>
      <c r="AF23" s="8"/>
      <c r="AG23" s="8"/>
    </row>
    <row r="24" spans="1:33" x14ac:dyDescent="0.2">
      <c r="A24" s="12">
        <v>1722</v>
      </c>
      <c r="B24" s="13" t="s">
        <v>36</v>
      </c>
      <c r="C24" s="13">
        <v>43253</v>
      </c>
      <c r="D24" s="5">
        <v>40</v>
      </c>
      <c r="E24" s="6" t="s">
        <v>60</v>
      </c>
      <c r="F24" s="5" t="s">
        <v>229</v>
      </c>
      <c r="G24" s="6" t="s">
        <v>228</v>
      </c>
      <c r="H24" s="5" t="str">
        <f>"000366"</f>
        <v>000366</v>
      </c>
      <c r="I24" s="4">
        <v>43168</v>
      </c>
      <c r="J24" s="5" t="str">
        <f>"000031"</f>
        <v>000031</v>
      </c>
      <c r="K24" s="4">
        <v>43223</v>
      </c>
      <c r="L24" s="5" t="str">
        <f>"000097"</f>
        <v>000097</v>
      </c>
      <c r="M24" s="4">
        <v>43228</v>
      </c>
      <c r="N24" s="5">
        <v>18</v>
      </c>
      <c r="O24" s="5" t="str">
        <f>"001801"</f>
        <v>001801</v>
      </c>
      <c r="P24" s="4">
        <v>43244</v>
      </c>
      <c r="Q24" s="7">
        <v>49.099539999999998</v>
      </c>
      <c r="R24" s="7">
        <v>4.3470599999999999</v>
      </c>
      <c r="S24" s="7">
        <v>44.752479999999998</v>
      </c>
      <c r="T24" s="5">
        <v>68</v>
      </c>
      <c r="U24" s="4">
        <v>43253</v>
      </c>
      <c r="V24" s="5">
        <v>9845235505</v>
      </c>
      <c r="W24" s="6" t="s">
        <v>79</v>
      </c>
      <c r="X24" s="5" t="s">
        <v>49</v>
      </c>
      <c r="Y24" s="6" t="s">
        <v>48</v>
      </c>
      <c r="Z24" s="5" t="s">
        <v>56</v>
      </c>
      <c r="AA24" s="6" t="s">
        <v>55</v>
      </c>
      <c r="AB24" s="7">
        <v>0.49099539999999997</v>
      </c>
      <c r="AD24" s="8"/>
      <c r="AF24" s="8"/>
      <c r="AG24" s="8"/>
    </row>
    <row r="25" spans="1:33" x14ac:dyDescent="0.2">
      <c r="A25" s="12">
        <v>2243</v>
      </c>
      <c r="B25" s="13" t="s">
        <v>36</v>
      </c>
      <c r="C25" s="13">
        <v>43269</v>
      </c>
      <c r="D25" s="5">
        <v>40</v>
      </c>
      <c r="E25" s="6" t="s">
        <v>60</v>
      </c>
      <c r="F25" s="5" t="s">
        <v>227</v>
      </c>
      <c r="G25" s="6" t="s">
        <v>226</v>
      </c>
      <c r="H25" s="5" t="str">
        <f>"000011"</f>
        <v>000011</v>
      </c>
      <c r="I25" s="4">
        <v>42766</v>
      </c>
      <c r="J25" s="5" t="str">
        <f>"000050"</f>
        <v>000050</v>
      </c>
      <c r="K25" s="4">
        <v>42825</v>
      </c>
      <c r="L25" s="5" t="str">
        <f>"000055"</f>
        <v>000055</v>
      </c>
      <c r="M25" s="4">
        <v>42825</v>
      </c>
      <c r="N25" s="5">
        <v>17</v>
      </c>
      <c r="O25" s="5" t="str">
        <f>"002519"</f>
        <v>002519</v>
      </c>
      <c r="P25" s="4">
        <v>43264</v>
      </c>
      <c r="Q25" s="7">
        <v>49.692459999999997</v>
      </c>
      <c r="R25" s="7">
        <v>6.0127800000000002</v>
      </c>
      <c r="S25" s="7">
        <v>43.679679999999998</v>
      </c>
      <c r="T25" s="5">
        <v>91</v>
      </c>
      <c r="U25" s="4">
        <v>43269</v>
      </c>
      <c r="V25" s="5">
        <v>9448279917</v>
      </c>
      <c r="W25" s="6" t="s">
        <v>52</v>
      </c>
      <c r="X25" s="5" t="s">
        <v>103</v>
      </c>
      <c r="Y25" s="6" t="s">
        <v>102</v>
      </c>
      <c r="Z25" s="5" t="s">
        <v>46</v>
      </c>
      <c r="AA25" s="6" t="s">
        <v>45</v>
      </c>
      <c r="AB25" s="7">
        <v>0.49692459999999999</v>
      </c>
      <c r="AD25" s="8"/>
      <c r="AF25" s="8"/>
      <c r="AG25" s="8"/>
    </row>
    <row r="26" spans="1:33" x14ac:dyDescent="0.2">
      <c r="A26" s="12">
        <v>2814</v>
      </c>
      <c r="B26" s="13" t="s">
        <v>33</v>
      </c>
      <c r="C26" s="13">
        <v>43283</v>
      </c>
      <c r="D26" s="5">
        <v>40</v>
      </c>
      <c r="E26" s="6" t="s">
        <v>60</v>
      </c>
      <c r="F26" s="5" t="s">
        <v>225</v>
      </c>
      <c r="G26" s="6" t="s">
        <v>224</v>
      </c>
      <c r="H26" s="5" t="str">
        <f>"000253"</f>
        <v>000253</v>
      </c>
      <c r="I26" s="4">
        <v>42461</v>
      </c>
      <c r="J26" s="5" t="str">
        <f>"000198"</f>
        <v>000198</v>
      </c>
      <c r="K26" s="4">
        <v>42667</v>
      </c>
      <c r="L26" s="5" t="str">
        <f>"000333"</f>
        <v>000333</v>
      </c>
      <c r="M26" s="4">
        <v>42698</v>
      </c>
      <c r="N26" s="5">
        <v>16</v>
      </c>
      <c r="O26" s="5" t="str">
        <f>"003133"</f>
        <v>003133</v>
      </c>
      <c r="P26" s="4">
        <v>43280</v>
      </c>
      <c r="Q26" s="7">
        <v>1.4846999999999999</v>
      </c>
      <c r="R26" s="7">
        <v>9.0569999999999998E-2</v>
      </c>
      <c r="S26" s="7">
        <v>1.3941300000000001</v>
      </c>
      <c r="T26" s="5">
        <v>106</v>
      </c>
      <c r="U26" s="4">
        <v>43283</v>
      </c>
      <c r="V26" s="5">
        <v>8971497979</v>
      </c>
      <c r="W26" s="6" t="s">
        <v>223</v>
      </c>
      <c r="X26" s="5" t="s">
        <v>31</v>
      </c>
      <c r="Y26" s="6" t="s">
        <v>32</v>
      </c>
      <c r="Z26" s="5" t="s">
        <v>56</v>
      </c>
      <c r="AA26" s="6" t="s">
        <v>55</v>
      </c>
      <c r="AB26" s="7">
        <v>1.4846999999999999E-2</v>
      </c>
      <c r="AD26" s="8"/>
      <c r="AF26" s="8"/>
      <c r="AG26" s="8"/>
    </row>
    <row r="27" spans="1:33" x14ac:dyDescent="0.2">
      <c r="A27" s="12">
        <v>2993</v>
      </c>
      <c r="B27" s="13" t="s">
        <v>33</v>
      </c>
      <c r="C27" s="13">
        <v>43285</v>
      </c>
      <c r="D27" s="5">
        <v>40</v>
      </c>
      <c r="E27" s="6" t="s">
        <v>60</v>
      </c>
      <c r="F27" s="5" t="s">
        <v>222</v>
      </c>
      <c r="G27" s="6" t="s">
        <v>221</v>
      </c>
      <c r="H27" s="5" t="str">
        <f>"000187"</f>
        <v>000187</v>
      </c>
      <c r="I27" s="4">
        <v>43116</v>
      </c>
      <c r="J27" s="5" t="str">
        <f>"000051"</f>
        <v>000051</v>
      </c>
      <c r="K27" s="4">
        <v>43253</v>
      </c>
      <c r="L27" s="5" t="str">
        <f>"000132"</f>
        <v>000132</v>
      </c>
      <c r="M27" s="4">
        <v>43259</v>
      </c>
      <c r="N27" s="5">
        <v>18</v>
      </c>
      <c r="O27" s="5" t="str">
        <f>"003272"</f>
        <v>003272</v>
      </c>
      <c r="P27" s="4">
        <v>43284</v>
      </c>
      <c r="Q27" s="7">
        <v>4.9727399999999999</v>
      </c>
      <c r="R27" s="7">
        <v>0.40278000000000003</v>
      </c>
      <c r="S27" s="7">
        <v>4.56996</v>
      </c>
      <c r="T27" s="5">
        <v>111</v>
      </c>
      <c r="U27" s="4">
        <v>43285</v>
      </c>
      <c r="V27" s="5">
        <v>8904904737</v>
      </c>
      <c r="W27" s="6" t="s">
        <v>74</v>
      </c>
      <c r="X27" s="5" t="s">
        <v>220</v>
      </c>
      <c r="Y27" s="6" t="s">
        <v>219</v>
      </c>
      <c r="Z27" s="5" t="s">
        <v>56</v>
      </c>
      <c r="AA27" s="6" t="s">
        <v>55</v>
      </c>
      <c r="AB27" s="7">
        <v>4.9727399999999998E-2</v>
      </c>
      <c r="AD27" s="8"/>
      <c r="AF27" s="8"/>
      <c r="AG27" s="8"/>
    </row>
    <row r="28" spans="1:33" x14ac:dyDescent="0.2">
      <c r="A28" s="12">
        <v>2994</v>
      </c>
      <c r="B28" s="13" t="s">
        <v>33</v>
      </c>
      <c r="C28" s="13">
        <v>43285</v>
      </c>
      <c r="D28" s="5">
        <v>40</v>
      </c>
      <c r="E28" s="6" t="s">
        <v>60</v>
      </c>
      <c r="F28" s="5" t="s">
        <v>218</v>
      </c>
      <c r="G28" s="6" t="s">
        <v>217</v>
      </c>
      <c r="H28" s="5" t="str">
        <f>"000191"</f>
        <v>000191</v>
      </c>
      <c r="I28" s="4">
        <v>43117</v>
      </c>
      <c r="J28" s="5" t="str">
        <f>"000052"</f>
        <v>000052</v>
      </c>
      <c r="K28" s="4">
        <v>43253</v>
      </c>
      <c r="L28" s="5" t="str">
        <f>"000133"</f>
        <v>000133</v>
      </c>
      <c r="M28" s="4">
        <v>43259</v>
      </c>
      <c r="N28" s="5">
        <v>18</v>
      </c>
      <c r="O28" s="5" t="str">
        <f>"003273"</f>
        <v>003273</v>
      </c>
      <c r="P28" s="4">
        <v>43284</v>
      </c>
      <c r="Q28" s="7">
        <v>4.9935499999999999</v>
      </c>
      <c r="R28" s="7">
        <v>0.40448000000000001</v>
      </c>
      <c r="S28" s="7">
        <v>4.5890700000000004</v>
      </c>
      <c r="T28" s="5">
        <v>111</v>
      </c>
      <c r="U28" s="4">
        <v>43285</v>
      </c>
      <c r="V28" s="5">
        <v>8904904737</v>
      </c>
      <c r="W28" s="6" t="s">
        <v>74</v>
      </c>
      <c r="X28" s="5" t="s">
        <v>216</v>
      </c>
      <c r="Y28" s="6" t="s">
        <v>215</v>
      </c>
      <c r="Z28" s="5" t="s">
        <v>56</v>
      </c>
      <c r="AA28" s="6" t="s">
        <v>55</v>
      </c>
      <c r="AB28" s="7">
        <v>4.9935500000000001E-2</v>
      </c>
      <c r="AD28" s="8"/>
      <c r="AF28" s="8"/>
      <c r="AG28" s="8"/>
    </row>
    <row r="29" spans="1:33" x14ac:dyDescent="0.2">
      <c r="A29" s="12">
        <v>2995</v>
      </c>
      <c r="B29" s="13" t="s">
        <v>33</v>
      </c>
      <c r="C29" s="13">
        <v>43285</v>
      </c>
      <c r="D29" s="5">
        <v>40</v>
      </c>
      <c r="E29" s="6" t="s">
        <v>60</v>
      </c>
      <c r="F29" s="5" t="s">
        <v>214</v>
      </c>
      <c r="G29" s="6" t="s">
        <v>213</v>
      </c>
      <c r="H29" s="5" t="str">
        <f>"000188"</f>
        <v>000188</v>
      </c>
      <c r="I29" s="4">
        <v>43116</v>
      </c>
      <c r="J29" s="5" t="str">
        <f>"000058"</f>
        <v>000058</v>
      </c>
      <c r="K29" s="4">
        <v>43259</v>
      </c>
      <c r="L29" s="5" t="str">
        <f>"000147"</f>
        <v>000147</v>
      </c>
      <c r="M29" s="4">
        <v>43264</v>
      </c>
      <c r="N29" s="5">
        <v>18</v>
      </c>
      <c r="O29" s="5" t="str">
        <f>"003274"</f>
        <v>003274</v>
      </c>
      <c r="P29" s="4">
        <v>43284</v>
      </c>
      <c r="Q29" s="7">
        <v>9.9814399999999992</v>
      </c>
      <c r="R29" s="7">
        <v>0.80849000000000004</v>
      </c>
      <c r="S29" s="7">
        <v>9.1729500000000002</v>
      </c>
      <c r="T29" s="5">
        <v>111</v>
      </c>
      <c r="U29" s="4">
        <v>43285</v>
      </c>
      <c r="V29" s="5">
        <v>8904904737</v>
      </c>
      <c r="W29" s="6" t="s">
        <v>68</v>
      </c>
      <c r="X29" s="5" t="s">
        <v>212</v>
      </c>
      <c r="Y29" s="6" t="s">
        <v>211</v>
      </c>
      <c r="Z29" s="5" t="s">
        <v>56</v>
      </c>
      <c r="AA29" s="6" t="s">
        <v>55</v>
      </c>
      <c r="AB29" s="7">
        <v>9.9814399999999998E-2</v>
      </c>
      <c r="AD29" s="8"/>
      <c r="AF29" s="8"/>
      <c r="AG29" s="8"/>
    </row>
    <row r="30" spans="1:33" x14ac:dyDescent="0.2">
      <c r="A30" s="12">
        <v>2996</v>
      </c>
      <c r="B30" s="13" t="s">
        <v>33</v>
      </c>
      <c r="C30" s="13">
        <v>43285</v>
      </c>
      <c r="D30" s="5">
        <v>40</v>
      </c>
      <c r="E30" s="6" t="s">
        <v>60</v>
      </c>
      <c r="F30" s="5" t="s">
        <v>210</v>
      </c>
      <c r="G30" s="6" t="s">
        <v>209</v>
      </c>
      <c r="H30" s="5" t="str">
        <f>"000193"</f>
        <v>000193</v>
      </c>
      <c r="I30" s="4">
        <v>43117</v>
      </c>
      <c r="J30" s="5" t="str">
        <f>"000047"</f>
        <v>000047</v>
      </c>
      <c r="K30" s="4">
        <v>43239</v>
      </c>
      <c r="L30" s="5" t="str">
        <f>"000108"</f>
        <v>000108</v>
      </c>
      <c r="M30" s="4">
        <v>43249</v>
      </c>
      <c r="N30" s="5">
        <v>18</v>
      </c>
      <c r="O30" s="5" t="str">
        <f>"003275"</f>
        <v>003275</v>
      </c>
      <c r="P30" s="4">
        <v>43284</v>
      </c>
      <c r="Q30" s="7">
        <v>9.6621600000000001</v>
      </c>
      <c r="R30" s="7">
        <v>0.99763000000000002</v>
      </c>
      <c r="S30" s="7">
        <v>8.6645299999999992</v>
      </c>
      <c r="T30" s="5">
        <v>111</v>
      </c>
      <c r="U30" s="4">
        <v>43285</v>
      </c>
      <c r="V30" s="5">
        <v>8904904737</v>
      </c>
      <c r="W30" s="6" t="s">
        <v>68</v>
      </c>
      <c r="X30" s="5" t="s">
        <v>208</v>
      </c>
      <c r="Y30" s="6" t="s">
        <v>207</v>
      </c>
      <c r="Z30" s="5" t="s">
        <v>56</v>
      </c>
      <c r="AA30" s="6" t="s">
        <v>55</v>
      </c>
      <c r="AB30" s="7">
        <v>9.6621600000000002E-2</v>
      </c>
      <c r="AD30" s="8"/>
      <c r="AF30" s="8"/>
      <c r="AG30" s="8"/>
    </row>
    <row r="31" spans="1:33" x14ac:dyDescent="0.2">
      <c r="A31" s="12">
        <v>2997</v>
      </c>
      <c r="B31" s="13" t="s">
        <v>33</v>
      </c>
      <c r="C31" s="13">
        <v>43285</v>
      </c>
      <c r="D31" s="5">
        <v>40</v>
      </c>
      <c r="E31" s="6" t="s">
        <v>60</v>
      </c>
      <c r="F31" s="5" t="s">
        <v>206</v>
      </c>
      <c r="G31" s="6" t="s">
        <v>205</v>
      </c>
      <c r="H31" s="5" t="str">
        <f>"000189"</f>
        <v>000189</v>
      </c>
      <c r="I31" s="4">
        <v>43116</v>
      </c>
      <c r="J31" s="5" t="str">
        <f>"000045"</f>
        <v>000045</v>
      </c>
      <c r="K31" s="4">
        <v>43239</v>
      </c>
      <c r="L31" s="5" t="str">
        <f>"000107"</f>
        <v>000107</v>
      </c>
      <c r="M31" s="4">
        <v>43249</v>
      </c>
      <c r="N31" s="5">
        <v>18</v>
      </c>
      <c r="O31" s="5" t="str">
        <f>"003276"</f>
        <v>003276</v>
      </c>
      <c r="P31" s="4">
        <v>43284</v>
      </c>
      <c r="Q31" s="7">
        <v>4.9635499999999997</v>
      </c>
      <c r="R31" s="7">
        <v>0.50505</v>
      </c>
      <c r="S31" s="7">
        <v>4.4584999999999999</v>
      </c>
      <c r="T31" s="5">
        <v>111</v>
      </c>
      <c r="U31" s="4">
        <v>43285</v>
      </c>
      <c r="V31" s="5">
        <v>8904904737</v>
      </c>
      <c r="W31" s="6" t="s">
        <v>68</v>
      </c>
      <c r="X31" s="5" t="s">
        <v>204</v>
      </c>
      <c r="Y31" s="6" t="s">
        <v>203</v>
      </c>
      <c r="Z31" s="5" t="s">
        <v>56</v>
      </c>
      <c r="AA31" s="6" t="s">
        <v>55</v>
      </c>
      <c r="AB31" s="7">
        <v>4.9635499999999999E-2</v>
      </c>
      <c r="AD31" s="8"/>
      <c r="AF31" s="8"/>
      <c r="AG31" s="8"/>
    </row>
    <row r="32" spans="1:33" x14ac:dyDescent="0.2">
      <c r="A32" s="12">
        <v>2998</v>
      </c>
      <c r="B32" s="13" t="s">
        <v>33</v>
      </c>
      <c r="C32" s="13">
        <v>43285</v>
      </c>
      <c r="D32" s="5">
        <v>40</v>
      </c>
      <c r="E32" s="6" t="s">
        <v>60</v>
      </c>
      <c r="F32" s="5" t="s">
        <v>202</v>
      </c>
      <c r="G32" s="6" t="s">
        <v>201</v>
      </c>
      <c r="H32" s="5" t="str">
        <f>"000190"</f>
        <v>000190</v>
      </c>
      <c r="I32" s="4">
        <v>43117</v>
      </c>
      <c r="J32" s="5" t="str">
        <f>"000048"</f>
        <v>000048</v>
      </c>
      <c r="K32" s="4">
        <v>43246</v>
      </c>
      <c r="L32" s="5" t="str">
        <f>"000121"</f>
        <v>000121</v>
      </c>
      <c r="M32" s="4">
        <v>43257</v>
      </c>
      <c r="N32" s="5">
        <v>18</v>
      </c>
      <c r="O32" s="5" t="str">
        <f>"003277"</f>
        <v>003277</v>
      </c>
      <c r="P32" s="4">
        <v>43284</v>
      </c>
      <c r="Q32" s="7">
        <v>19.98413</v>
      </c>
      <c r="R32" s="7">
        <v>1.6187100000000001</v>
      </c>
      <c r="S32" s="7">
        <v>18.36542</v>
      </c>
      <c r="T32" s="5">
        <v>111</v>
      </c>
      <c r="U32" s="4">
        <v>43285</v>
      </c>
      <c r="V32" s="5">
        <v>8904904737</v>
      </c>
      <c r="W32" s="6" t="s">
        <v>74</v>
      </c>
      <c r="X32" s="5" t="s">
        <v>200</v>
      </c>
      <c r="Y32" s="6" t="s">
        <v>199</v>
      </c>
      <c r="Z32" s="5" t="s">
        <v>56</v>
      </c>
      <c r="AA32" s="6" t="s">
        <v>55</v>
      </c>
      <c r="AB32" s="7">
        <v>0.1998413</v>
      </c>
      <c r="AD32" s="8"/>
      <c r="AF32" s="8"/>
      <c r="AG32" s="8"/>
    </row>
    <row r="33" spans="1:33" x14ac:dyDescent="0.2">
      <c r="A33" s="12">
        <v>2999</v>
      </c>
      <c r="B33" s="13" t="s">
        <v>33</v>
      </c>
      <c r="C33" s="13">
        <v>43285</v>
      </c>
      <c r="D33" s="5">
        <v>40</v>
      </c>
      <c r="E33" s="6" t="s">
        <v>60</v>
      </c>
      <c r="F33" s="5" t="s">
        <v>198</v>
      </c>
      <c r="G33" s="6" t="s">
        <v>197</v>
      </c>
      <c r="H33" s="5" t="str">
        <f>"000195"</f>
        <v>000195</v>
      </c>
      <c r="I33" s="4">
        <v>43117</v>
      </c>
      <c r="J33" s="5" t="str">
        <f>"000049"</f>
        <v>000049</v>
      </c>
      <c r="K33" s="4">
        <v>43246</v>
      </c>
      <c r="L33" s="5" t="str">
        <f>"000110"</f>
        <v>000110</v>
      </c>
      <c r="M33" s="4">
        <v>43249</v>
      </c>
      <c r="N33" s="5">
        <v>18</v>
      </c>
      <c r="O33" s="5" t="str">
        <f>"003278"</f>
        <v>003278</v>
      </c>
      <c r="P33" s="4">
        <v>43284</v>
      </c>
      <c r="Q33" s="7">
        <v>14.962759999999999</v>
      </c>
      <c r="R33" s="7">
        <v>1.49499</v>
      </c>
      <c r="S33" s="7">
        <v>13.46777</v>
      </c>
      <c r="T33" s="5">
        <v>111</v>
      </c>
      <c r="U33" s="4">
        <v>43285</v>
      </c>
      <c r="V33" s="5">
        <v>8904904737</v>
      </c>
      <c r="W33" s="6" t="s">
        <v>74</v>
      </c>
      <c r="X33" s="5" t="s">
        <v>196</v>
      </c>
      <c r="Y33" s="6" t="s">
        <v>195</v>
      </c>
      <c r="Z33" s="5" t="s">
        <v>56</v>
      </c>
      <c r="AA33" s="6" t="s">
        <v>55</v>
      </c>
      <c r="AB33" s="7">
        <v>0.1496276</v>
      </c>
      <c r="AD33" s="8"/>
      <c r="AF33" s="8"/>
      <c r="AG33" s="8"/>
    </row>
    <row r="34" spans="1:33" x14ac:dyDescent="0.2">
      <c r="A34" s="12">
        <v>3048</v>
      </c>
      <c r="B34" s="13" t="s">
        <v>33</v>
      </c>
      <c r="C34" s="13">
        <v>43287</v>
      </c>
      <c r="D34" s="5">
        <v>40</v>
      </c>
      <c r="E34" s="6" t="s">
        <v>60</v>
      </c>
      <c r="F34" s="5" t="s">
        <v>194</v>
      </c>
      <c r="G34" s="6" t="s">
        <v>193</v>
      </c>
      <c r="H34" s="5" t="str">
        <f>"000217"</f>
        <v>000217</v>
      </c>
      <c r="I34" s="4">
        <v>42424</v>
      </c>
      <c r="J34" s="5" t="str">
        <f>"000197"</f>
        <v>000197</v>
      </c>
      <c r="K34" s="4">
        <v>42667</v>
      </c>
      <c r="L34" s="5" t="str">
        <f>"000401"</f>
        <v>000401</v>
      </c>
      <c r="M34" s="4">
        <v>42704</v>
      </c>
      <c r="N34" s="5">
        <v>16</v>
      </c>
      <c r="O34" s="5" t="str">
        <f>"003266"</f>
        <v>003266</v>
      </c>
      <c r="P34" s="4">
        <v>43283</v>
      </c>
      <c r="Q34" s="7">
        <v>2.7182499999999998</v>
      </c>
      <c r="R34" s="7">
        <v>0.16581000000000001</v>
      </c>
      <c r="S34" s="7">
        <v>2.5524399999999998</v>
      </c>
      <c r="T34" s="5">
        <v>113</v>
      </c>
      <c r="U34" s="4">
        <v>43287</v>
      </c>
      <c r="V34" s="5">
        <v>9731449749</v>
      </c>
      <c r="W34" s="6" t="s">
        <v>192</v>
      </c>
      <c r="X34" s="5" t="s">
        <v>31</v>
      </c>
      <c r="Y34" s="6" t="s">
        <v>32</v>
      </c>
      <c r="Z34" s="5" t="s">
        <v>56</v>
      </c>
      <c r="AA34" s="6" t="s">
        <v>55</v>
      </c>
      <c r="AB34" s="7">
        <v>2.7182499999999998E-2</v>
      </c>
      <c r="AD34" s="8"/>
      <c r="AF34" s="8"/>
      <c r="AG34" s="8"/>
    </row>
    <row r="35" spans="1:33" x14ac:dyDescent="0.2">
      <c r="A35" s="12">
        <v>3049</v>
      </c>
      <c r="B35" s="13" t="s">
        <v>33</v>
      </c>
      <c r="C35" s="13">
        <v>43287</v>
      </c>
      <c r="D35" s="5">
        <v>40</v>
      </c>
      <c r="E35" s="6" t="s">
        <v>60</v>
      </c>
      <c r="F35" s="5" t="s">
        <v>191</v>
      </c>
      <c r="G35" s="6" t="s">
        <v>190</v>
      </c>
      <c r="H35" s="5" t="str">
        <f>"000192"</f>
        <v>000192</v>
      </c>
      <c r="I35" s="4">
        <v>43117</v>
      </c>
      <c r="J35" s="5" t="str">
        <f>"000046"</f>
        <v>000046</v>
      </c>
      <c r="K35" s="4">
        <v>43239</v>
      </c>
      <c r="L35" s="5" t="str">
        <f>"000109"</f>
        <v>000109</v>
      </c>
      <c r="M35" s="4">
        <v>43249</v>
      </c>
      <c r="N35" s="5">
        <v>18</v>
      </c>
      <c r="O35" s="5" t="str">
        <f>"003341"</f>
        <v>003341</v>
      </c>
      <c r="P35" s="4">
        <v>43286</v>
      </c>
      <c r="Q35" s="7">
        <v>14.99034</v>
      </c>
      <c r="R35" s="7">
        <v>1.53721</v>
      </c>
      <c r="S35" s="7">
        <v>13.45313</v>
      </c>
      <c r="T35" s="5">
        <v>114</v>
      </c>
      <c r="U35" s="4">
        <v>43287</v>
      </c>
      <c r="V35" s="5">
        <v>8904904737</v>
      </c>
      <c r="W35" s="6" t="s">
        <v>74</v>
      </c>
      <c r="X35" s="5" t="s">
        <v>189</v>
      </c>
      <c r="Y35" s="6" t="s">
        <v>188</v>
      </c>
      <c r="Z35" s="5" t="s">
        <v>56</v>
      </c>
      <c r="AA35" s="6" t="s">
        <v>55</v>
      </c>
      <c r="AB35" s="7">
        <v>0.14990339999999999</v>
      </c>
      <c r="AD35" s="8"/>
      <c r="AF35" s="8"/>
      <c r="AG35" s="8"/>
    </row>
    <row r="36" spans="1:33" x14ac:dyDescent="0.2">
      <c r="A36" s="12">
        <v>3468</v>
      </c>
      <c r="B36" s="13" t="s">
        <v>33</v>
      </c>
      <c r="C36" s="13">
        <v>43299</v>
      </c>
      <c r="D36" s="5">
        <v>40</v>
      </c>
      <c r="E36" s="6" t="s">
        <v>60</v>
      </c>
      <c r="F36" s="5" t="s">
        <v>187</v>
      </c>
      <c r="G36" s="6" t="s">
        <v>186</v>
      </c>
      <c r="H36" s="5" t="str">
        <f>""</f>
        <v/>
      </c>
      <c r="I36" s="4">
        <v>119</v>
      </c>
      <c r="J36" s="5" t="str">
        <f>"000001"</f>
        <v>000001</v>
      </c>
      <c r="K36" s="4">
        <v>42825</v>
      </c>
      <c r="L36" s="5" t="str">
        <f>"000004"</f>
        <v>000004</v>
      </c>
      <c r="M36" s="4">
        <v>42945</v>
      </c>
      <c r="N36" s="5">
        <v>16</v>
      </c>
      <c r="O36" s="5" t="str">
        <f>"003788"</f>
        <v>003788</v>
      </c>
      <c r="P36" s="4">
        <v>43294</v>
      </c>
      <c r="Q36" s="7">
        <v>0.49554999999999999</v>
      </c>
      <c r="R36" s="7">
        <v>3.4729999999999997E-2</v>
      </c>
      <c r="S36" s="7">
        <v>0.46082000000000001</v>
      </c>
      <c r="T36" s="5">
        <v>129</v>
      </c>
      <c r="U36" s="4">
        <v>43299</v>
      </c>
      <c r="V36" s="5">
        <v>8147004318</v>
      </c>
      <c r="W36" s="6" t="s">
        <v>185</v>
      </c>
      <c r="X36" s="5" t="s">
        <v>31</v>
      </c>
      <c r="Y36" s="6" t="s">
        <v>32</v>
      </c>
      <c r="Z36" s="5" t="s">
        <v>56</v>
      </c>
      <c r="AA36" s="6" t="s">
        <v>55</v>
      </c>
      <c r="AB36" s="7">
        <v>4.9554999999999998E-3</v>
      </c>
      <c r="AD36" s="8"/>
      <c r="AF36" s="8"/>
      <c r="AG36" s="8"/>
    </row>
    <row r="37" spans="1:33" x14ac:dyDescent="0.2">
      <c r="A37" s="12">
        <v>3665</v>
      </c>
      <c r="B37" s="13" t="s">
        <v>33</v>
      </c>
      <c r="C37" s="13">
        <v>43300</v>
      </c>
      <c r="D37" s="5">
        <v>40</v>
      </c>
      <c r="E37" s="6" t="s">
        <v>60</v>
      </c>
      <c r="F37" s="5" t="s">
        <v>184</v>
      </c>
      <c r="G37" s="6" t="s">
        <v>183</v>
      </c>
      <c r="H37" s="5" t="str">
        <f>"000002"</f>
        <v>000002</v>
      </c>
      <c r="I37" s="4">
        <v>41257</v>
      </c>
      <c r="J37" s="5" t="str">
        <f>"000004"</f>
        <v>000004</v>
      </c>
      <c r="K37" s="4">
        <v>43273</v>
      </c>
      <c r="L37" s="5" t="str">
        <f>"000005"</f>
        <v>000005</v>
      </c>
      <c r="M37" s="4">
        <v>43273</v>
      </c>
      <c r="N37" s="5">
        <v>12</v>
      </c>
      <c r="O37" s="5" t="str">
        <f>"003897"</f>
        <v>003897</v>
      </c>
      <c r="P37" s="4">
        <v>43297</v>
      </c>
      <c r="Q37" s="7">
        <v>54.146000000000001</v>
      </c>
      <c r="R37" s="7">
        <v>2.0946500000000001</v>
      </c>
      <c r="S37" s="7">
        <v>52.051349999999999</v>
      </c>
      <c r="T37" s="5">
        <v>131</v>
      </c>
      <c r="U37" s="4">
        <v>43300</v>
      </c>
      <c r="V37" s="5">
        <v>9844078994</v>
      </c>
      <c r="W37" s="6" t="s">
        <v>182</v>
      </c>
      <c r="X37" s="5" t="s">
        <v>181</v>
      </c>
      <c r="Y37" s="6" t="s">
        <v>180</v>
      </c>
      <c r="Z37" s="5" t="s">
        <v>179</v>
      </c>
      <c r="AA37" s="6" t="s">
        <v>178</v>
      </c>
      <c r="AB37" s="7">
        <v>0.54146000000000005</v>
      </c>
      <c r="AD37" s="8"/>
      <c r="AF37" s="8"/>
      <c r="AG37" s="8"/>
    </row>
    <row r="38" spans="1:33" x14ac:dyDescent="0.2">
      <c r="A38" s="12">
        <v>3666</v>
      </c>
      <c r="B38" s="13" t="s">
        <v>33</v>
      </c>
      <c r="C38" s="13">
        <v>43300</v>
      </c>
      <c r="D38" s="5">
        <v>40</v>
      </c>
      <c r="E38" s="6" t="s">
        <v>60</v>
      </c>
      <c r="F38" s="5" t="s">
        <v>177</v>
      </c>
      <c r="G38" s="6" t="s">
        <v>176</v>
      </c>
      <c r="H38" s="5" t="str">
        <f>"000088"</f>
        <v>000088</v>
      </c>
      <c r="I38" s="4">
        <v>42888</v>
      </c>
      <c r="J38" s="5" t="str">
        <f>"000078"</f>
        <v>000078</v>
      </c>
      <c r="K38" s="4">
        <v>42908</v>
      </c>
      <c r="L38" s="5" t="str">
        <f>"000125"</f>
        <v>000125</v>
      </c>
      <c r="M38" s="4">
        <v>42909</v>
      </c>
      <c r="N38" s="5">
        <v>17</v>
      </c>
      <c r="O38" s="5" t="str">
        <f>"004128"</f>
        <v>004128</v>
      </c>
      <c r="P38" s="4">
        <v>42938</v>
      </c>
      <c r="Q38" s="7">
        <v>0.91461000000000003</v>
      </c>
      <c r="R38" s="7">
        <v>9.146E-2</v>
      </c>
      <c r="S38" s="7">
        <v>0.82315000000000005</v>
      </c>
      <c r="T38" s="5">
        <v>133</v>
      </c>
      <c r="U38" s="4">
        <v>43300</v>
      </c>
      <c r="V38" s="5">
        <v>9538136111</v>
      </c>
      <c r="W38" s="6" t="s">
        <v>175</v>
      </c>
      <c r="X38" s="5" t="s">
        <v>39</v>
      </c>
      <c r="Y38" s="6" t="s">
        <v>40</v>
      </c>
      <c r="Z38" s="5" t="s">
        <v>56</v>
      </c>
      <c r="AA38" s="6" t="s">
        <v>55</v>
      </c>
      <c r="AB38" s="7">
        <v>9.1461000000000008E-3</v>
      </c>
      <c r="AD38" s="8"/>
      <c r="AF38" s="8"/>
      <c r="AG38" s="8"/>
    </row>
    <row r="39" spans="1:33" x14ac:dyDescent="0.2">
      <c r="A39" s="12">
        <v>3667</v>
      </c>
      <c r="B39" s="13" t="s">
        <v>33</v>
      </c>
      <c r="C39" s="13">
        <v>43300</v>
      </c>
      <c r="D39" s="5">
        <v>40</v>
      </c>
      <c r="E39" s="6" t="s">
        <v>60</v>
      </c>
      <c r="F39" s="5" t="s">
        <v>174</v>
      </c>
      <c r="G39" s="6" t="s">
        <v>173</v>
      </c>
      <c r="H39" s="5" t="str">
        <f>"000194"</f>
        <v>000194</v>
      </c>
      <c r="I39" s="4">
        <v>43117</v>
      </c>
      <c r="J39" s="5" t="str">
        <f>"000054"</f>
        <v>000054</v>
      </c>
      <c r="K39" s="4">
        <v>43256</v>
      </c>
      <c r="L39" s="5" t="str">
        <f>"000146"</f>
        <v>000146</v>
      </c>
      <c r="M39" s="4">
        <v>43262</v>
      </c>
      <c r="N39" s="5">
        <v>18</v>
      </c>
      <c r="O39" s="5" t="str">
        <f>"003743"</f>
        <v>003743</v>
      </c>
      <c r="P39" s="4">
        <v>43294</v>
      </c>
      <c r="Q39" s="7">
        <v>14.98574</v>
      </c>
      <c r="R39" s="7">
        <v>1.3918200000000001</v>
      </c>
      <c r="S39" s="7">
        <v>13.593920000000001</v>
      </c>
      <c r="T39" s="5">
        <v>133</v>
      </c>
      <c r="U39" s="4">
        <v>43300</v>
      </c>
      <c r="V39" s="5">
        <v>8904904737</v>
      </c>
      <c r="W39" s="6" t="s">
        <v>74</v>
      </c>
      <c r="X39" s="5" t="s">
        <v>172</v>
      </c>
      <c r="Y39" s="6" t="s">
        <v>171</v>
      </c>
      <c r="Z39" s="5" t="s">
        <v>56</v>
      </c>
      <c r="AA39" s="6" t="s">
        <v>55</v>
      </c>
      <c r="AB39" s="7">
        <v>0.1498574</v>
      </c>
      <c r="AD39" s="8"/>
      <c r="AF39" s="8"/>
      <c r="AG39" s="8"/>
    </row>
    <row r="40" spans="1:33" x14ac:dyDescent="0.2">
      <c r="A40" s="12">
        <v>3827</v>
      </c>
      <c r="B40" s="13" t="s">
        <v>33</v>
      </c>
      <c r="C40" s="13">
        <v>43304</v>
      </c>
      <c r="D40" s="5">
        <v>40</v>
      </c>
      <c r="E40" s="6" t="s">
        <v>60</v>
      </c>
      <c r="F40" s="5" t="s">
        <v>170</v>
      </c>
      <c r="G40" s="6" t="s">
        <v>169</v>
      </c>
      <c r="H40" s="5" t="str">
        <f>"000016"</f>
        <v>000016</v>
      </c>
      <c r="I40" s="4">
        <v>43264</v>
      </c>
      <c r="J40" s="5" t="str">
        <f>"000004"</f>
        <v>000004</v>
      </c>
      <c r="K40" s="4">
        <v>43270</v>
      </c>
      <c r="L40" s="5" t="str">
        <f>"000046"</f>
        <v>000046</v>
      </c>
      <c r="M40" s="4">
        <v>43271</v>
      </c>
      <c r="N40" s="5">
        <v>17</v>
      </c>
      <c r="O40" s="5" t="str">
        <f>"004076"</f>
        <v>004076</v>
      </c>
      <c r="P40" s="4">
        <v>43301</v>
      </c>
      <c r="Q40" s="7">
        <v>99.733500000000006</v>
      </c>
      <c r="R40" s="7">
        <v>8.9339999999999993</v>
      </c>
      <c r="S40" s="7">
        <v>90.799499999999995</v>
      </c>
      <c r="T40" s="5">
        <v>137</v>
      </c>
      <c r="U40" s="4">
        <v>43304</v>
      </c>
      <c r="V40" s="5">
        <v>8123112888</v>
      </c>
      <c r="W40" s="6" t="s">
        <v>168</v>
      </c>
      <c r="X40" s="5" t="s">
        <v>39</v>
      </c>
      <c r="Y40" s="6" t="s">
        <v>40</v>
      </c>
      <c r="Z40" s="5" t="s">
        <v>167</v>
      </c>
      <c r="AA40" s="6" t="s">
        <v>166</v>
      </c>
      <c r="AB40" s="7">
        <v>0.99733500000000008</v>
      </c>
      <c r="AD40" s="8"/>
      <c r="AF40" s="8"/>
      <c r="AG40" s="8"/>
    </row>
    <row r="41" spans="1:33" x14ac:dyDescent="0.2">
      <c r="A41" s="12">
        <v>3968</v>
      </c>
      <c r="B41" s="13" t="s">
        <v>33</v>
      </c>
      <c r="C41" s="13">
        <v>43307</v>
      </c>
      <c r="D41" s="5">
        <v>40</v>
      </c>
      <c r="E41" s="6" t="s">
        <v>60</v>
      </c>
      <c r="F41" s="5" t="s">
        <v>165</v>
      </c>
      <c r="G41" s="6" t="s">
        <v>164</v>
      </c>
      <c r="H41" s="5" t="str">
        <f>"000136"</f>
        <v>000136</v>
      </c>
      <c r="I41" s="4">
        <v>43244</v>
      </c>
      <c r="J41" s="5" t="str">
        <f>"000076"</f>
        <v>000076</v>
      </c>
      <c r="K41" s="4">
        <v>43265</v>
      </c>
      <c r="L41" s="5" t="str">
        <f>"000155"</f>
        <v>000155</v>
      </c>
      <c r="M41" s="4">
        <v>43265</v>
      </c>
      <c r="N41" s="5">
        <v>18</v>
      </c>
      <c r="O41" s="5" t="str">
        <f>"004332"</f>
        <v>004332</v>
      </c>
      <c r="P41" s="4">
        <v>43306</v>
      </c>
      <c r="Q41" s="7">
        <v>49.042000000000002</v>
      </c>
      <c r="R41" s="7">
        <v>4.4015399999999998</v>
      </c>
      <c r="S41" s="7">
        <v>44.640459999999997</v>
      </c>
      <c r="T41" s="5">
        <v>141</v>
      </c>
      <c r="U41" s="4">
        <v>43307</v>
      </c>
      <c r="V41" s="5">
        <v>9845235505</v>
      </c>
      <c r="W41" s="6" t="s">
        <v>79</v>
      </c>
      <c r="X41" s="5" t="s">
        <v>28</v>
      </c>
      <c r="Y41" s="6" t="s">
        <v>29</v>
      </c>
      <c r="Z41" s="5" t="s">
        <v>56</v>
      </c>
      <c r="AA41" s="6" t="s">
        <v>55</v>
      </c>
      <c r="AB41" s="7">
        <v>0.49042000000000002</v>
      </c>
      <c r="AD41" s="8"/>
      <c r="AF41" s="8"/>
      <c r="AG41" s="8"/>
    </row>
    <row r="42" spans="1:33" x14ac:dyDescent="0.2">
      <c r="A42" s="12">
        <v>3969</v>
      </c>
      <c r="B42" s="13" t="s">
        <v>33</v>
      </c>
      <c r="C42" s="13">
        <v>43307</v>
      </c>
      <c r="D42" s="5">
        <v>40</v>
      </c>
      <c r="E42" s="6" t="s">
        <v>60</v>
      </c>
      <c r="F42" s="5" t="s">
        <v>163</v>
      </c>
      <c r="G42" s="6" t="s">
        <v>162</v>
      </c>
      <c r="H42" s="5" t="str">
        <f>"000140"</f>
        <v>000140</v>
      </c>
      <c r="I42" s="4">
        <v>43244</v>
      </c>
      <c r="J42" s="5" t="str">
        <f>"000087"</f>
        <v>000087</v>
      </c>
      <c r="K42" s="4">
        <v>43265</v>
      </c>
      <c r="L42" s="5" t="str">
        <f>"000156"</f>
        <v>000156</v>
      </c>
      <c r="M42" s="4">
        <v>43265</v>
      </c>
      <c r="N42" s="5">
        <v>18</v>
      </c>
      <c r="O42" s="5" t="str">
        <f>"004335"</f>
        <v>004335</v>
      </c>
      <c r="P42" s="4">
        <v>43306</v>
      </c>
      <c r="Q42" s="7">
        <v>49.102290000000004</v>
      </c>
      <c r="R42" s="7">
        <v>4.3842800000000004</v>
      </c>
      <c r="S42" s="7">
        <v>44.71801</v>
      </c>
      <c r="T42" s="5">
        <v>141</v>
      </c>
      <c r="U42" s="4">
        <v>43307</v>
      </c>
      <c r="V42" s="5">
        <v>9845235505</v>
      </c>
      <c r="W42" s="6" t="s">
        <v>79</v>
      </c>
      <c r="X42" s="5" t="s">
        <v>28</v>
      </c>
      <c r="Y42" s="6" t="s">
        <v>29</v>
      </c>
      <c r="Z42" s="5" t="s">
        <v>56</v>
      </c>
      <c r="AA42" s="6" t="s">
        <v>55</v>
      </c>
      <c r="AB42" s="7">
        <v>0.49102290000000004</v>
      </c>
      <c r="AD42" s="8"/>
      <c r="AF42" s="8"/>
      <c r="AG42" s="8"/>
    </row>
    <row r="43" spans="1:33" x14ac:dyDescent="0.2">
      <c r="A43" s="12">
        <v>3970</v>
      </c>
      <c r="B43" s="13" t="s">
        <v>33</v>
      </c>
      <c r="C43" s="13">
        <v>43307</v>
      </c>
      <c r="D43" s="5">
        <v>40</v>
      </c>
      <c r="E43" s="6" t="s">
        <v>60</v>
      </c>
      <c r="F43" s="5" t="s">
        <v>161</v>
      </c>
      <c r="G43" s="6" t="s">
        <v>160</v>
      </c>
      <c r="H43" s="5" t="str">
        <f>"000138"</f>
        <v>000138</v>
      </c>
      <c r="I43" s="4">
        <v>43244</v>
      </c>
      <c r="J43" s="5" t="str">
        <f>"000086"</f>
        <v>000086</v>
      </c>
      <c r="K43" s="4">
        <v>43265</v>
      </c>
      <c r="L43" s="5" t="str">
        <f>"000157"</f>
        <v>000157</v>
      </c>
      <c r="M43" s="4">
        <v>43265</v>
      </c>
      <c r="N43" s="5">
        <v>18</v>
      </c>
      <c r="O43" s="5" t="str">
        <f>"004336"</f>
        <v>004336</v>
      </c>
      <c r="P43" s="4">
        <v>43306</v>
      </c>
      <c r="Q43" s="7">
        <v>49.1</v>
      </c>
      <c r="R43" s="7">
        <v>4.3750999999999998</v>
      </c>
      <c r="S43" s="7">
        <v>44.724899999999998</v>
      </c>
      <c r="T43" s="5">
        <v>141</v>
      </c>
      <c r="U43" s="4">
        <v>43307</v>
      </c>
      <c r="V43" s="5">
        <v>9845235505</v>
      </c>
      <c r="W43" s="6" t="s">
        <v>79</v>
      </c>
      <c r="X43" s="5" t="s">
        <v>28</v>
      </c>
      <c r="Y43" s="6" t="s">
        <v>29</v>
      </c>
      <c r="Z43" s="5" t="s">
        <v>56</v>
      </c>
      <c r="AA43" s="6" t="s">
        <v>55</v>
      </c>
      <c r="AB43" s="7">
        <v>0.49099999999999999</v>
      </c>
      <c r="AD43" s="8"/>
      <c r="AF43" s="8"/>
      <c r="AG43" s="8"/>
    </row>
    <row r="44" spans="1:33" x14ac:dyDescent="0.2">
      <c r="A44" s="12">
        <v>3971</v>
      </c>
      <c r="B44" s="13" t="s">
        <v>33</v>
      </c>
      <c r="C44" s="13">
        <v>43307</v>
      </c>
      <c r="D44" s="5">
        <v>40</v>
      </c>
      <c r="E44" s="6" t="s">
        <v>60</v>
      </c>
      <c r="F44" s="5" t="s">
        <v>159</v>
      </c>
      <c r="G44" s="6" t="s">
        <v>158</v>
      </c>
      <c r="H44" s="5" t="str">
        <f>"000137"</f>
        <v>000137</v>
      </c>
      <c r="I44" s="4">
        <v>43244</v>
      </c>
      <c r="J44" s="5" t="str">
        <f>"000085"</f>
        <v>000085</v>
      </c>
      <c r="K44" s="4">
        <v>43265</v>
      </c>
      <c r="L44" s="5" t="str">
        <f>"000159"</f>
        <v>000159</v>
      </c>
      <c r="M44" s="4">
        <v>43265</v>
      </c>
      <c r="N44" s="5">
        <v>18</v>
      </c>
      <c r="O44" s="5" t="str">
        <f>"004338"</f>
        <v>004338</v>
      </c>
      <c r="P44" s="4">
        <v>43306</v>
      </c>
      <c r="Q44" s="7">
        <v>49.098649999999999</v>
      </c>
      <c r="R44" s="7">
        <v>4.4050000000000002</v>
      </c>
      <c r="S44" s="7">
        <v>44.693649999999998</v>
      </c>
      <c r="T44" s="5">
        <v>141</v>
      </c>
      <c r="U44" s="4">
        <v>43307</v>
      </c>
      <c r="V44" s="5">
        <v>9845235505</v>
      </c>
      <c r="W44" s="6" t="s">
        <v>79</v>
      </c>
      <c r="X44" s="5" t="s">
        <v>28</v>
      </c>
      <c r="Y44" s="6" t="s">
        <v>29</v>
      </c>
      <c r="Z44" s="5" t="s">
        <v>56</v>
      </c>
      <c r="AA44" s="6" t="s">
        <v>55</v>
      </c>
      <c r="AB44" s="7">
        <v>0.49098649999999999</v>
      </c>
      <c r="AD44" s="8"/>
      <c r="AF44" s="8"/>
      <c r="AG44" s="8"/>
    </row>
    <row r="45" spans="1:33" x14ac:dyDescent="0.2">
      <c r="A45" s="12">
        <v>3972</v>
      </c>
      <c r="B45" s="13" t="s">
        <v>33</v>
      </c>
      <c r="C45" s="13">
        <v>43307</v>
      </c>
      <c r="D45" s="5">
        <v>40</v>
      </c>
      <c r="E45" s="6" t="s">
        <v>60</v>
      </c>
      <c r="F45" s="5" t="s">
        <v>157</v>
      </c>
      <c r="G45" s="6" t="s">
        <v>156</v>
      </c>
      <c r="H45" s="5" t="str">
        <f>"000135"</f>
        <v>000135</v>
      </c>
      <c r="I45" s="4">
        <v>43244</v>
      </c>
      <c r="J45" s="5" t="str">
        <f>"000084"</f>
        <v>000084</v>
      </c>
      <c r="K45" s="4">
        <v>43265</v>
      </c>
      <c r="L45" s="5" t="str">
        <f>"000160"</f>
        <v>000160</v>
      </c>
      <c r="M45" s="4">
        <v>43265</v>
      </c>
      <c r="N45" s="5">
        <v>18</v>
      </c>
      <c r="O45" s="5" t="str">
        <f>"004343"</f>
        <v>004343</v>
      </c>
      <c r="P45" s="4">
        <v>43306</v>
      </c>
      <c r="Q45" s="7">
        <v>49.085720000000002</v>
      </c>
      <c r="R45" s="7">
        <v>4.4000000000000004</v>
      </c>
      <c r="S45" s="7">
        <v>44.685720000000003</v>
      </c>
      <c r="T45" s="5">
        <v>141</v>
      </c>
      <c r="U45" s="4">
        <v>43307</v>
      </c>
      <c r="V45" s="5">
        <v>9845235505</v>
      </c>
      <c r="W45" s="6" t="s">
        <v>79</v>
      </c>
      <c r="X45" s="5" t="s">
        <v>28</v>
      </c>
      <c r="Y45" s="6" t="s">
        <v>29</v>
      </c>
      <c r="Z45" s="5" t="s">
        <v>56</v>
      </c>
      <c r="AA45" s="6" t="s">
        <v>55</v>
      </c>
      <c r="AB45" s="7">
        <v>0.49085719999999999</v>
      </c>
      <c r="AD45" s="8"/>
      <c r="AF45" s="8"/>
      <c r="AG45" s="8"/>
    </row>
    <row r="46" spans="1:33" x14ac:dyDescent="0.2">
      <c r="A46" s="12">
        <v>3973</v>
      </c>
      <c r="B46" s="13" t="s">
        <v>33</v>
      </c>
      <c r="C46" s="13">
        <v>43307</v>
      </c>
      <c r="D46" s="5">
        <v>40</v>
      </c>
      <c r="E46" s="6" t="s">
        <v>60</v>
      </c>
      <c r="F46" s="5" t="s">
        <v>155</v>
      </c>
      <c r="G46" s="6" t="s">
        <v>154</v>
      </c>
      <c r="H46" s="5" t="str">
        <f>"000129"</f>
        <v>000129</v>
      </c>
      <c r="I46" s="4">
        <v>43244</v>
      </c>
      <c r="J46" s="5" t="str">
        <f>"000083"</f>
        <v>000083</v>
      </c>
      <c r="K46" s="4">
        <v>43265</v>
      </c>
      <c r="L46" s="5" t="str">
        <f>"000161"</f>
        <v>000161</v>
      </c>
      <c r="M46" s="4">
        <v>43265</v>
      </c>
      <c r="N46" s="5">
        <v>18</v>
      </c>
      <c r="O46" s="5" t="str">
        <f>"004344"</f>
        <v>004344</v>
      </c>
      <c r="P46" s="4">
        <v>43306</v>
      </c>
      <c r="Q46" s="7">
        <v>49.099600000000002</v>
      </c>
      <c r="R46" s="7">
        <v>4.4110800000000001</v>
      </c>
      <c r="S46" s="7">
        <v>44.688519999999997</v>
      </c>
      <c r="T46" s="5">
        <v>141</v>
      </c>
      <c r="U46" s="4">
        <v>43307</v>
      </c>
      <c r="V46" s="5">
        <v>9845235505</v>
      </c>
      <c r="W46" s="6" t="s">
        <v>79</v>
      </c>
      <c r="X46" s="5" t="s">
        <v>28</v>
      </c>
      <c r="Y46" s="6" t="s">
        <v>29</v>
      </c>
      <c r="Z46" s="5" t="s">
        <v>56</v>
      </c>
      <c r="AA46" s="6" t="s">
        <v>55</v>
      </c>
      <c r="AB46" s="7">
        <v>0.49099600000000004</v>
      </c>
      <c r="AD46" s="8"/>
      <c r="AF46" s="8"/>
      <c r="AG46" s="8"/>
    </row>
    <row r="47" spans="1:33" x14ac:dyDescent="0.2">
      <c r="A47" s="12">
        <v>3974</v>
      </c>
      <c r="B47" s="13" t="s">
        <v>33</v>
      </c>
      <c r="C47" s="13">
        <v>43307</v>
      </c>
      <c r="D47" s="5">
        <v>40</v>
      </c>
      <c r="E47" s="6" t="s">
        <v>60</v>
      </c>
      <c r="F47" s="5" t="s">
        <v>153</v>
      </c>
      <c r="G47" s="6" t="s">
        <v>152</v>
      </c>
      <c r="H47" s="5" t="str">
        <f>"000131"</f>
        <v>000131</v>
      </c>
      <c r="I47" s="4">
        <v>43244</v>
      </c>
      <c r="J47" s="5" t="str">
        <f>"000080"</f>
        <v>000080</v>
      </c>
      <c r="K47" s="4">
        <v>43265</v>
      </c>
      <c r="L47" s="5" t="str">
        <f>"000162"</f>
        <v>000162</v>
      </c>
      <c r="M47" s="4">
        <v>43265</v>
      </c>
      <c r="N47" s="5">
        <v>18</v>
      </c>
      <c r="O47" s="5" t="str">
        <f>"004345"</f>
        <v>004345</v>
      </c>
      <c r="P47" s="4">
        <v>43306</v>
      </c>
      <c r="Q47" s="7">
        <v>49.097659999999998</v>
      </c>
      <c r="R47" s="7">
        <v>4.4139099999999996</v>
      </c>
      <c r="S47" s="7">
        <v>44.683750000000003</v>
      </c>
      <c r="T47" s="5">
        <v>141</v>
      </c>
      <c r="U47" s="4">
        <v>43307</v>
      </c>
      <c r="V47" s="5">
        <v>9845235505</v>
      </c>
      <c r="W47" s="6" t="s">
        <v>79</v>
      </c>
      <c r="X47" s="5" t="s">
        <v>28</v>
      </c>
      <c r="Y47" s="6" t="s">
        <v>29</v>
      </c>
      <c r="Z47" s="5" t="s">
        <v>56</v>
      </c>
      <c r="AA47" s="6" t="s">
        <v>55</v>
      </c>
      <c r="AB47" s="7">
        <v>0.49097659999999999</v>
      </c>
      <c r="AD47" s="8"/>
      <c r="AF47" s="8"/>
      <c r="AG47" s="8"/>
    </row>
    <row r="48" spans="1:33" x14ac:dyDescent="0.2">
      <c r="A48" s="12">
        <v>3975</v>
      </c>
      <c r="B48" s="13" t="s">
        <v>33</v>
      </c>
      <c r="C48" s="13">
        <v>43307</v>
      </c>
      <c r="D48" s="5">
        <v>40</v>
      </c>
      <c r="E48" s="6" t="s">
        <v>60</v>
      </c>
      <c r="F48" s="5" t="s">
        <v>151</v>
      </c>
      <c r="G48" s="6" t="s">
        <v>150</v>
      </c>
      <c r="H48" s="5" t="str">
        <f>"000130"</f>
        <v>000130</v>
      </c>
      <c r="I48" s="4">
        <v>43244</v>
      </c>
      <c r="J48" s="5" t="str">
        <f>"000079"</f>
        <v>000079</v>
      </c>
      <c r="K48" s="4">
        <v>43265</v>
      </c>
      <c r="L48" s="5" t="str">
        <f>"000170"</f>
        <v>000170</v>
      </c>
      <c r="M48" s="4">
        <v>43265</v>
      </c>
      <c r="N48" s="5">
        <v>18</v>
      </c>
      <c r="O48" s="5" t="str">
        <f>"004366"</f>
        <v>004366</v>
      </c>
      <c r="P48" s="4">
        <v>43306</v>
      </c>
      <c r="Q48" s="7">
        <v>49.095500000000001</v>
      </c>
      <c r="R48" s="7">
        <v>4.3937499999999998</v>
      </c>
      <c r="S48" s="7">
        <v>44.701749999999997</v>
      </c>
      <c r="T48" s="5">
        <v>141</v>
      </c>
      <c r="U48" s="4">
        <v>43307</v>
      </c>
      <c r="V48" s="5">
        <v>9845235505</v>
      </c>
      <c r="W48" s="6" t="s">
        <v>79</v>
      </c>
      <c r="X48" s="5" t="s">
        <v>28</v>
      </c>
      <c r="Y48" s="6" t="s">
        <v>29</v>
      </c>
      <c r="Z48" s="5" t="s">
        <v>56</v>
      </c>
      <c r="AA48" s="6" t="s">
        <v>55</v>
      </c>
      <c r="AB48" s="7">
        <v>0.49095500000000003</v>
      </c>
      <c r="AD48" s="8"/>
      <c r="AF48" s="8"/>
      <c r="AG48" s="8"/>
    </row>
    <row r="49" spans="1:33" x14ac:dyDescent="0.2">
      <c r="A49" s="12">
        <v>3976</v>
      </c>
      <c r="B49" s="13" t="s">
        <v>33</v>
      </c>
      <c r="C49" s="13">
        <v>43307</v>
      </c>
      <c r="D49" s="5">
        <v>40</v>
      </c>
      <c r="E49" s="6" t="s">
        <v>60</v>
      </c>
      <c r="F49" s="5" t="s">
        <v>149</v>
      </c>
      <c r="G49" s="6" t="s">
        <v>148</v>
      </c>
      <c r="H49" s="5" t="str">
        <f>"000134"</f>
        <v>000134</v>
      </c>
      <c r="I49" s="4">
        <v>43244</v>
      </c>
      <c r="J49" s="5" t="str">
        <f>"000078"</f>
        <v>000078</v>
      </c>
      <c r="K49" s="4">
        <v>43265</v>
      </c>
      <c r="L49" s="5" t="str">
        <f>"000171"</f>
        <v>000171</v>
      </c>
      <c r="M49" s="4">
        <v>43265</v>
      </c>
      <c r="N49" s="5">
        <v>18</v>
      </c>
      <c r="O49" s="5" t="str">
        <f>"004369"</f>
        <v>004369</v>
      </c>
      <c r="P49" s="4">
        <v>43306</v>
      </c>
      <c r="Q49" s="7">
        <v>49.082180000000001</v>
      </c>
      <c r="R49" s="7">
        <v>4.3886599999999998</v>
      </c>
      <c r="S49" s="7">
        <v>44.693519999999999</v>
      </c>
      <c r="T49" s="5">
        <v>141</v>
      </c>
      <c r="U49" s="4">
        <v>43307</v>
      </c>
      <c r="V49" s="5">
        <v>9845235505</v>
      </c>
      <c r="W49" s="6" t="s">
        <v>79</v>
      </c>
      <c r="X49" s="5" t="s">
        <v>28</v>
      </c>
      <c r="Y49" s="6" t="s">
        <v>29</v>
      </c>
      <c r="Z49" s="5" t="s">
        <v>56</v>
      </c>
      <c r="AA49" s="6" t="s">
        <v>55</v>
      </c>
      <c r="AB49" s="7">
        <v>0.49082180000000003</v>
      </c>
      <c r="AD49" s="8"/>
      <c r="AF49" s="8"/>
      <c r="AG49" s="8"/>
    </row>
    <row r="50" spans="1:33" x14ac:dyDescent="0.2">
      <c r="A50" s="12">
        <v>3977</v>
      </c>
      <c r="B50" s="13" t="s">
        <v>33</v>
      </c>
      <c r="C50" s="13">
        <v>43307</v>
      </c>
      <c r="D50" s="5">
        <v>40</v>
      </c>
      <c r="E50" s="6" t="s">
        <v>60</v>
      </c>
      <c r="F50" s="5" t="s">
        <v>147</v>
      </c>
      <c r="G50" s="6" t="s">
        <v>146</v>
      </c>
      <c r="H50" s="5" t="str">
        <f>"000139"</f>
        <v>000139</v>
      </c>
      <c r="I50" s="4">
        <v>43244</v>
      </c>
      <c r="J50" s="5" t="str">
        <f>"000077"</f>
        <v>000077</v>
      </c>
      <c r="K50" s="4">
        <v>43265</v>
      </c>
      <c r="L50" s="5" t="str">
        <f>"000172"</f>
        <v>000172</v>
      </c>
      <c r="M50" s="4">
        <v>43265</v>
      </c>
      <c r="N50" s="5">
        <v>18</v>
      </c>
      <c r="O50" s="5" t="str">
        <f>"004373"</f>
        <v>004373</v>
      </c>
      <c r="P50" s="4">
        <v>43306</v>
      </c>
      <c r="Q50" s="7">
        <v>49.095170000000003</v>
      </c>
      <c r="R50" s="7">
        <v>4.3697600000000003</v>
      </c>
      <c r="S50" s="7">
        <v>44.725409999999997</v>
      </c>
      <c r="T50" s="5">
        <v>141</v>
      </c>
      <c r="U50" s="4">
        <v>43307</v>
      </c>
      <c r="V50" s="5">
        <v>9845235505</v>
      </c>
      <c r="W50" s="6" t="s">
        <v>79</v>
      </c>
      <c r="X50" s="5" t="s">
        <v>28</v>
      </c>
      <c r="Y50" s="6" t="s">
        <v>29</v>
      </c>
      <c r="Z50" s="5" t="s">
        <v>56</v>
      </c>
      <c r="AA50" s="6" t="s">
        <v>55</v>
      </c>
      <c r="AB50" s="7">
        <v>0.49095170000000005</v>
      </c>
      <c r="AD50" s="8"/>
      <c r="AF50" s="8"/>
      <c r="AG50" s="8"/>
    </row>
    <row r="51" spans="1:33" x14ac:dyDescent="0.2">
      <c r="A51" s="12">
        <v>3978</v>
      </c>
      <c r="B51" s="13" t="s">
        <v>33</v>
      </c>
      <c r="C51" s="13">
        <v>43307</v>
      </c>
      <c r="D51" s="5">
        <v>40</v>
      </c>
      <c r="E51" s="6" t="s">
        <v>60</v>
      </c>
      <c r="F51" s="5" t="s">
        <v>145</v>
      </c>
      <c r="G51" s="6" t="s">
        <v>144</v>
      </c>
      <c r="H51" s="5" t="str">
        <f>"000132"</f>
        <v>000132</v>
      </c>
      <c r="I51" s="4">
        <v>43244</v>
      </c>
      <c r="J51" s="5" t="str">
        <f>"000081"</f>
        <v>000081</v>
      </c>
      <c r="K51" s="4">
        <v>43265</v>
      </c>
      <c r="L51" s="5" t="str">
        <f>"000173"</f>
        <v>000173</v>
      </c>
      <c r="M51" s="4">
        <v>43265</v>
      </c>
      <c r="N51" s="5">
        <v>18</v>
      </c>
      <c r="O51" s="5" t="str">
        <f>"004376"</f>
        <v>004376</v>
      </c>
      <c r="P51" s="4">
        <v>43306</v>
      </c>
      <c r="Q51" s="7">
        <v>49.104340000000001</v>
      </c>
      <c r="R51" s="7">
        <v>4.4164399999999997</v>
      </c>
      <c r="S51" s="7">
        <v>44.687899999999999</v>
      </c>
      <c r="T51" s="5">
        <v>141</v>
      </c>
      <c r="U51" s="4">
        <v>43307</v>
      </c>
      <c r="V51" s="5">
        <v>9845235505</v>
      </c>
      <c r="W51" s="6" t="s">
        <v>79</v>
      </c>
      <c r="X51" s="5" t="s">
        <v>28</v>
      </c>
      <c r="Y51" s="6" t="s">
        <v>29</v>
      </c>
      <c r="Z51" s="5" t="s">
        <v>56</v>
      </c>
      <c r="AA51" s="6" t="s">
        <v>55</v>
      </c>
      <c r="AB51" s="7">
        <v>0.49104340000000002</v>
      </c>
      <c r="AD51" s="8"/>
      <c r="AF51" s="8"/>
      <c r="AG51" s="8"/>
    </row>
    <row r="52" spans="1:33" x14ac:dyDescent="0.2">
      <c r="A52" s="12">
        <v>3979</v>
      </c>
      <c r="B52" s="13" t="s">
        <v>33</v>
      </c>
      <c r="C52" s="13">
        <v>43307</v>
      </c>
      <c r="D52" s="5">
        <v>40</v>
      </c>
      <c r="E52" s="6" t="s">
        <v>60</v>
      </c>
      <c r="F52" s="5" t="s">
        <v>143</v>
      </c>
      <c r="G52" s="6" t="s">
        <v>142</v>
      </c>
      <c r="H52" s="5" t="str">
        <f>"000133"</f>
        <v>000133</v>
      </c>
      <c r="I52" s="4">
        <v>43244</v>
      </c>
      <c r="J52" s="5" t="str">
        <f>"000082"</f>
        <v>000082</v>
      </c>
      <c r="K52" s="4">
        <v>43265</v>
      </c>
      <c r="L52" s="5" t="str">
        <f>"000174"</f>
        <v>000174</v>
      </c>
      <c r="M52" s="4">
        <v>43265</v>
      </c>
      <c r="N52" s="5">
        <v>18</v>
      </c>
      <c r="O52" s="5" t="str">
        <f>"004380"</f>
        <v>004380</v>
      </c>
      <c r="P52" s="4">
        <v>43306</v>
      </c>
      <c r="Q52" s="7">
        <v>49.047240000000002</v>
      </c>
      <c r="R52" s="7">
        <v>4.4258199999999999</v>
      </c>
      <c r="S52" s="7">
        <v>44.621420000000001</v>
      </c>
      <c r="T52" s="5">
        <v>141</v>
      </c>
      <c r="U52" s="4">
        <v>43307</v>
      </c>
      <c r="V52" s="5">
        <v>9845235505</v>
      </c>
      <c r="W52" s="6" t="s">
        <v>79</v>
      </c>
      <c r="X52" s="5" t="s">
        <v>28</v>
      </c>
      <c r="Y52" s="6" t="s">
        <v>29</v>
      </c>
      <c r="Z52" s="5" t="s">
        <v>56</v>
      </c>
      <c r="AA52" s="6" t="s">
        <v>55</v>
      </c>
      <c r="AB52" s="7">
        <v>0.49047240000000003</v>
      </c>
      <c r="AD52" s="8"/>
      <c r="AF52" s="8"/>
      <c r="AG52" s="8"/>
    </row>
    <row r="53" spans="1:33" x14ac:dyDescent="0.2">
      <c r="A53" s="12">
        <v>4082</v>
      </c>
      <c r="B53" s="13" t="s">
        <v>33</v>
      </c>
      <c r="C53" s="13">
        <v>43308</v>
      </c>
      <c r="D53" s="5">
        <v>40</v>
      </c>
      <c r="E53" s="6" t="s">
        <v>60</v>
      </c>
      <c r="F53" s="5" t="s">
        <v>141</v>
      </c>
      <c r="G53" s="6" t="s">
        <v>140</v>
      </c>
      <c r="H53" s="5" t="str">
        <f>"000138"</f>
        <v>000138</v>
      </c>
      <c r="I53" s="4">
        <v>43089</v>
      </c>
      <c r="J53" s="5" t="str">
        <f>"000098"</f>
        <v>000098</v>
      </c>
      <c r="K53" s="4">
        <v>43294</v>
      </c>
      <c r="L53" s="5" t="str">
        <f>"000258"</f>
        <v>000258</v>
      </c>
      <c r="M53" s="4">
        <v>43297</v>
      </c>
      <c r="N53" s="5">
        <v>17</v>
      </c>
      <c r="O53" s="5" t="str">
        <f>"004362"</f>
        <v>004362</v>
      </c>
      <c r="P53" s="4">
        <v>43306</v>
      </c>
      <c r="Q53" s="7">
        <v>9.2757400000000008</v>
      </c>
      <c r="R53" s="7">
        <v>0.29955999999999999</v>
      </c>
      <c r="S53" s="7">
        <v>8.9761799999999994</v>
      </c>
      <c r="T53" s="5">
        <v>143</v>
      </c>
      <c r="U53" s="4">
        <v>43308</v>
      </c>
      <c r="V53" s="5">
        <v>9845193228</v>
      </c>
      <c r="W53" s="6" t="s">
        <v>139</v>
      </c>
      <c r="X53" s="5" t="s">
        <v>39</v>
      </c>
      <c r="Y53" s="6" t="s">
        <v>40</v>
      </c>
      <c r="Z53" s="5" t="s">
        <v>56</v>
      </c>
      <c r="AA53" s="6" t="s">
        <v>55</v>
      </c>
      <c r="AB53" s="7">
        <v>9.2757400000000004E-2</v>
      </c>
      <c r="AD53" s="8"/>
      <c r="AF53" s="8"/>
      <c r="AG53" s="8"/>
    </row>
    <row r="54" spans="1:33" x14ac:dyDescent="0.2">
      <c r="A54" s="12">
        <v>4221</v>
      </c>
      <c r="B54" s="13" t="s">
        <v>30</v>
      </c>
      <c r="C54" s="13">
        <v>43314</v>
      </c>
      <c r="D54" s="5">
        <v>40</v>
      </c>
      <c r="E54" s="6" t="s">
        <v>60</v>
      </c>
      <c r="F54" s="5" t="s">
        <v>138</v>
      </c>
      <c r="G54" s="6" t="s">
        <v>137</v>
      </c>
      <c r="H54" s="5" t="str">
        <f>"000161"</f>
        <v>000161</v>
      </c>
      <c r="I54" s="4">
        <v>42186</v>
      </c>
      <c r="J54" s="5" t="str">
        <f>"000264"</f>
        <v>000264</v>
      </c>
      <c r="K54" s="4">
        <v>42460</v>
      </c>
      <c r="L54" s="5" t="str">
        <f>"000417"</f>
        <v>000417</v>
      </c>
      <c r="M54" s="4">
        <v>42460</v>
      </c>
      <c r="N54" s="5">
        <v>15</v>
      </c>
      <c r="O54" s="5" t="str">
        <f>"004483"</f>
        <v>004483</v>
      </c>
      <c r="P54" s="4">
        <v>43308</v>
      </c>
      <c r="Q54" s="7">
        <v>1.8291900000000001</v>
      </c>
      <c r="R54" s="7">
        <v>0.13258</v>
      </c>
      <c r="S54" s="7">
        <v>1.69661</v>
      </c>
      <c r="T54" s="5">
        <v>151</v>
      </c>
      <c r="U54" s="4">
        <v>43314</v>
      </c>
      <c r="V54" s="5">
        <v>9731449749</v>
      </c>
      <c r="W54" s="6" t="s">
        <v>136</v>
      </c>
      <c r="X54" s="5" t="s">
        <v>31</v>
      </c>
      <c r="Y54" s="6" t="s">
        <v>32</v>
      </c>
      <c r="Z54" s="5" t="s">
        <v>56</v>
      </c>
      <c r="AA54" s="6" t="s">
        <v>55</v>
      </c>
      <c r="AB54" s="7">
        <v>1.82919E-2</v>
      </c>
      <c r="AD54" s="8"/>
      <c r="AF54" s="8"/>
      <c r="AG54" s="8"/>
    </row>
    <row r="55" spans="1:33" x14ac:dyDescent="0.2">
      <c r="A55" s="12">
        <v>4410</v>
      </c>
      <c r="B55" s="13" t="s">
        <v>30</v>
      </c>
      <c r="C55" s="13">
        <v>43318</v>
      </c>
      <c r="D55" s="5">
        <v>40</v>
      </c>
      <c r="E55" s="6" t="s">
        <v>60</v>
      </c>
      <c r="F55" s="5" t="s">
        <v>135</v>
      </c>
      <c r="G55" s="6" t="s">
        <v>134</v>
      </c>
      <c r="H55" s="5" t="str">
        <f>"000007"</f>
        <v>000007</v>
      </c>
      <c r="I55" s="4">
        <v>42870</v>
      </c>
      <c r="J55" s="5" t="str">
        <f>"000094"</f>
        <v>000094</v>
      </c>
      <c r="K55" s="4">
        <v>43131</v>
      </c>
      <c r="L55" s="5" t="str">
        <f>"000094"</f>
        <v>000094</v>
      </c>
      <c r="M55" s="4">
        <v>43131</v>
      </c>
      <c r="N55" s="5">
        <v>16</v>
      </c>
      <c r="O55" s="5" t="str">
        <f>"004813"</f>
        <v>004813</v>
      </c>
      <c r="P55" s="4">
        <v>43315</v>
      </c>
      <c r="Q55" s="7">
        <v>5.9438599999999999</v>
      </c>
      <c r="R55" s="7">
        <v>0.38657999999999998</v>
      </c>
      <c r="S55" s="7">
        <v>5.5572800000000004</v>
      </c>
      <c r="T55" s="5">
        <v>157</v>
      </c>
      <c r="U55" s="4">
        <v>43318</v>
      </c>
      <c r="V55" s="5">
        <v>9845021612</v>
      </c>
      <c r="W55" s="6" t="s">
        <v>133</v>
      </c>
      <c r="X55" s="5" t="s">
        <v>34</v>
      </c>
      <c r="Y55" s="6" t="s">
        <v>35</v>
      </c>
      <c r="Z55" s="5" t="s">
        <v>46</v>
      </c>
      <c r="AA55" s="6" t="s">
        <v>45</v>
      </c>
      <c r="AB55" s="7">
        <v>5.9438600000000001E-2</v>
      </c>
      <c r="AD55" s="8"/>
      <c r="AF55" s="8"/>
      <c r="AG55" s="8"/>
    </row>
    <row r="56" spans="1:33" x14ac:dyDescent="0.2">
      <c r="A56" s="12">
        <v>4411</v>
      </c>
      <c r="B56" s="13" t="s">
        <v>30</v>
      </c>
      <c r="C56" s="13">
        <v>43318</v>
      </c>
      <c r="D56" s="5">
        <v>40</v>
      </c>
      <c r="E56" s="6" t="s">
        <v>60</v>
      </c>
      <c r="F56" s="5" t="s">
        <v>132</v>
      </c>
      <c r="G56" s="6" t="s">
        <v>131</v>
      </c>
      <c r="H56" s="5" t="str">
        <f>"000182"</f>
        <v>000182</v>
      </c>
      <c r="I56" s="4">
        <v>42727</v>
      </c>
      <c r="J56" s="5" t="str">
        <f>"000231"</f>
        <v>000231</v>
      </c>
      <c r="K56" s="4">
        <v>42794</v>
      </c>
      <c r="L56" s="5" t="str">
        <f>"000473"</f>
        <v>000473</v>
      </c>
      <c r="M56" s="4">
        <v>42794</v>
      </c>
      <c r="N56" s="5">
        <v>17</v>
      </c>
      <c r="O56" s="5" t="str">
        <f>"004714"</f>
        <v>004714</v>
      </c>
      <c r="P56" s="4">
        <v>43314</v>
      </c>
      <c r="Q56" s="7">
        <v>49.04954</v>
      </c>
      <c r="R56" s="7">
        <v>6.4076000000000004</v>
      </c>
      <c r="S56" s="7">
        <v>42.641939999999998</v>
      </c>
      <c r="T56" s="5">
        <v>159</v>
      </c>
      <c r="U56" s="4">
        <v>43318</v>
      </c>
      <c r="V56" s="5">
        <v>9845235505</v>
      </c>
      <c r="W56" s="6" t="s">
        <v>74</v>
      </c>
      <c r="X56" s="5" t="s">
        <v>103</v>
      </c>
      <c r="Y56" s="6" t="s">
        <v>102</v>
      </c>
      <c r="Z56" s="5" t="s">
        <v>56</v>
      </c>
      <c r="AA56" s="6" t="s">
        <v>55</v>
      </c>
      <c r="AB56" s="7">
        <v>0.49049540000000003</v>
      </c>
      <c r="AD56" s="8"/>
      <c r="AF56" s="8"/>
      <c r="AG56" s="8"/>
    </row>
    <row r="57" spans="1:33" x14ac:dyDescent="0.2">
      <c r="A57" s="12">
        <v>4412</v>
      </c>
      <c r="B57" s="13" t="s">
        <v>30</v>
      </c>
      <c r="C57" s="13">
        <v>43318</v>
      </c>
      <c r="D57" s="5">
        <v>40</v>
      </c>
      <c r="E57" s="6" t="s">
        <v>60</v>
      </c>
      <c r="F57" s="5" t="s">
        <v>130</v>
      </c>
      <c r="G57" s="6" t="s">
        <v>129</v>
      </c>
      <c r="H57" s="5" t="str">
        <f>"000183"</f>
        <v>000183</v>
      </c>
      <c r="I57" s="4">
        <v>42727</v>
      </c>
      <c r="J57" s="5" t="str">
        <f>"000229"</f>
        <v>000229</v>
      </c>
      <c r="K57" s="4">
        <v>42794</v>
      </c>
      <c r="L57" s="5" t="str">
        <f>"000474"</f>
        <v>000474</v>
      </c>
      <c r="M57" s="4">
        <v>42794</v>
      </c>
      <c r="N57" s="5">
        <v>17</v>
      </c>
      <c r="O57" s="5" t="str">
        <f>"004715"</f>
        <v>004715</v>
      </c>
      <c r="P57" s="4">
        <v>43314</v>
      </c>
      <c r="Q57" s="7">
        <v>24.753620000000002</v>
      </c>
      <c r="R57" s="7">
        <v>3.2260399999999998</v>
      </c>
      <c r="S57" s="7">
        <v>21.52758</v>
      </c>
      <c r="T57" s="5">
        <v>159</v>
      </c>
      <c r="U57" s="4">
        <v>43318</v>
      </c>
      <c r="V57" s="5">
        <v>9845235505</v>
      </c>
      <c r="W57" s="6" t="s">
        <v>74</v>
      </c>
      <c r="X57" s="5" t="s">
        <v>103</v>
      </c>
      <c r="Y57" s="6" t="s">
        <v>102</v>
      </c>
      <c r="Z57" s="5" t="s">
        <v>56</v>
      </c>
      <c r="AA57" s="6" t="s">
        <v>55</v>
      </c>
      <c r="AB57" s="7">
        <v>0.24753620000000001</v>
      </c>
      <c r="AD57" s="8"/>
      <c r="AF57" s="8"/>
      <c r="AG57" s="8"/>
    </row>
    <row r="58" spans="1:33" x14ac:dyDescent="0.2">
      <c r="A58" s="12">
        <v>4413</v>
      </c>
      <c r="B58" s="13" t="s">
        <v>30</v>
      </c>
      <c r="C58" s="13">
        <v>43318</v>
      </c>
      <c r="D58" s="5">
        <v>40</v>
      </c>
      <c r="E58" s="6" t="s">
        <v>60</v>
      </c>
      <c r="F58" s="5" t="s">
        <v>128</v>
      </c>
      <c r="G58" s="6" t="s">
        <v>127</v>
      </c>
      <c r="H58" s="5" t="str">
        <f>"000184"</f>
        <v>000184</v>
      </c>
      <c r="I58" s="4">
        <v>42727</v>
      </c>
      <c r="J58" s="5" t="str">
        <f>"000230"</f>
        <v>000230</v>
      </c>
      <c r="K58" s="4">
        <v>42794</v>
      </c>
      <c r="L58" s="5" t="str">
        <f>"000475"</f>
        <v>000475</v>
      </c>
      <c r="M58" s="4">
        <v>42794</v>
      </c>
      <c r="N58" s="5">
        <v>17</v>
      </c>
      <c r="O58" s="5" t="str">
        <f>"004716"</f>
        <v>004716</v>
      </c>
      <c r="P58" s="4">
        <v>43314</v>
      </c>
      <c r="Q58" s="7">
        <v>24.708079999999999</v>
      </c>
      <c r="R58" s="7">
        <v>3.2208800000000002</v>
      </c>
      <c r="S58" s="7">
        <v>21.487200000000001</v>
      </c>
      <c r="T58" s="5">
        <v>159</v>
      </c>
      <c r="U58" s="4">
        <v>43318</v>
      </c>
      <c r="V58" s="5">
        <v>9845235505</v>
      </c>
      <c r="W58" s="6" t="s">
        <v>74</v>
      </c>
      <c r="X58" s="5" t="s">
        <v>103</v>
      </c>
      <c r="Y58" s="6" t="s">
        <v>102</v>
      </c>
      <c r="Z58" s="5" t="s">
        <v>56</v>
      </c>
      <c r="AA58" s="6" t="s">
        <v>55</v>
      </c>
      <c r="AB58" s="7">
        <v>0.24708079999999999</v>
      </c>
      <c r="AD58" s="8"/>
      <c r="AF58" s="8"/>
      <c r="AG58" s="8"/>
    </row>
    <row r="59" spans="1:33" x14ac:dyDescent="0.2">
      <c r="A59" s="12">
        <v>4414</v>
      </c>
      <c r="B59" s="13" t="s">
        <v>30</v>
      </c>
      <c r="C59" s="13">
        <v>43318</v>
      </c>
      <c r="D59" s="5">
        <v>40</v>
      </c>
      <c r="E59" s="6" t="s">
        <v>60</v>
      </c>
      <c r="F59" s="5" t="s">
        <v>117</v>
      </c>
      <c r="G59" s="6" t="s">
        <v>116</v>
      </c>
      <c r="H59" s="5" t="str">
        <f>"000321"</f>
        <v>000321</v>
      </c>
      <c r="I59" s="4">
        <v>42809</v>
      </c>
      <c r="J59" s="5" t="str">
        <f>"000032"</f>
        <v>000032</v>
      </c>
      <c r="K59" s="4">
        <v>43013</v>
      </c>
      <c r="L59" s="5" t="str">
        <f>"000166"</f>
        <v>000166</v>
      </c>
      <c r="M59" s="4">
        <v>43013</v>
      </c>
      <c r="N59" s="5">
        <v>17</v>
      </c>
      <c r="O59" s="5" t="str">
        <f>"004837"</f>
        <v>004837</v>
      </c>
      <c r="P59" s="4">
        <v>43315</v>
      </c>
      <c r="Q59" s="7">
        <v>40.862070000000003</v>
      </c>
      <c r="R59" s="7">
        <v>2.9011999999999998</v>
      </c>
      <c r="S59" s="7">
        <v>37.96087</v>
      </c>
      <c r="T59" s="5">
        <v>160</v>
      </c>
      <c r="U59" s="4">
        <v>43318</v>
      </c>
      <c r="V59" s="5">
        <v>9845235505</v>
      </c>
      <c r="W59" s="6" t="s">
        <v>68</v>
      </c>
      <c r="X59" s="5" t="s">
        <v>31</v>
      </c>
      <c r="Y59" s="6" t="s">
        <v>32</v>
      </c>
      <c r="Z59" s="5" t="s">
        <v>56</v>
      </c>
      <c r="AA59" s="6" t="s">
        <v>55</v>
      </c>
      <c r="AB59" s="7">
        <v>0.4086207</v>
      </c>
      <c r="AD59" s="8"/>
      <c r="AF59" s="8"/>
      <c r="AG59" s="8"/>
    </row>
    <row r="60" spans="1:33" x14ac:dyDescent="0.2">
      <c r="A60" s="12">
        <v>4415</v>
      </c>
      <c r="B60" s="13" t="s">
        <v>30</v>
      </c>
      <c r="C60" s="13">
        <v>43318</v>
      </c>
      <c r="D60" s="5">
        <v>40</v>
      </c>
      <c r="E60" s="6" t="s">
        <v>60</v>
      </c>
      <c r="F60" s="5" t="s">
        <v>126</v>
      </c>
      <c r="G60" s="6" t="s">
        <v>125</v>
      </c>
      <c r="H60" s="5" t="str">
        <f>"000324"</f>
        <v>000324</v>
      </c>
      <c r="I60" s="4">
        <v>42809</v>
      </c>
      <c r="J60" s="5" t="str">
        <f>"000089"</f>
        <v>000089</v>
      </c>
      <c r="K60" s="4">
        <v>42916</v>
      </c>
      <c r="L60" s="5" t="str">
        <f>"000148"</f>
        <v>000148</v>
      </c>
      <c r="M60" s="4">
        <v>42992</v>
      </c>
      <c r="N60" s="5">
        <v>17</v>
      </c>
      <c r="O60" s="5" t="str">
        <f>"004692"</f>
        <v>004692</v>
      </c>
      <c r="P60" s="4">
        <v>43313</v>
      </c>
      <c r="Q60" s="7">
        <v>24.981929999999998</v>
      </c>
      <c r="R60" s="7">
        <v>3.0228100000000002</v>
      </c>
      <c r="S60" s="7">
        <v>21.959119999999999</v>
      </c>
      <c r="T60" s="5">
        <v>160</v>
      </c>
      <c r="U60" s="4">
        <v>43318</v>
      </c>
      <c r="V60" s="5">
        <v>9845235505</v>
      </c>
      <c r="W60" s="6" t="s">
        <v>68</v>
      </c>
      <c r="X60" s="5" t="s">
        <v>31</v>
      </c>
      <c r="Y60" s="6" t="s">
        <v>32</v>
      </c>
      <c r="Z60" s="5" t="s">
        <v>56</v>
      </c>
      <c r="AA60" s="6" t="s">
        <v>55</v>
      </c>
      <c r="AB60" s="7">
        <v>0.24981929999999999</v>
      </c>
      <c r="AD60" s="8"/>
      <c r="AF60" s="8"/>
      <c r="AG60" s="8"/>
    </row>
    <row r="61" spans="1:33" x14ac:dyDescent="0.2">
      <c r="A61" s="12">
        <v>4416</v>
      </c>
      <c r="B61" s="13" t="s">
        <v>30</v>
      </c>
      <c r="C61" s="13">
        <v>43318</v>
      </c>
      <c r="D61" s="5">
        <v>40</v>
      </c>
      <c r="E61" s="6" t="s">
        <v>60</v>
      </c>
      <c r="F61" s="5" t="s">
        <v>124</v>
      </c>
      <c r="G61" s="6" t="s">
        <v>123</v>
      </c>
      <c r="H61" s="5" t="str">
        <f>""</f>
        <v/>
      </c>
      <c r="I61" s="4">
        <v>320</v>
      </c>
      <c r="J61" s="5" t="str">
        <f>"000033"</f>
        <v>000033</v>
      </c>
      <c r="K61" s="4">
        <v>43013</v>
      </c>
      <c r="L61" s="5" t="str">
        <f>"000162"</f>
        <v>000162</v>
      </c>
      <c r="M61" s="4">
        <v>43013</v>
      </c>
      <c r="N61" s="5">
        <v>17</v>
      </c>
      <c r="O61" s="5" t="str">
        <f>"004833"</f>
        <v>004833</v>
      </c>
      <c r="P61" s="4">
        <v>43315</v>
      </c>
      <c r="Q61" s="7">
        <v>9.9925499999999996</v>
      </c>
      <c r="R61" s="7">
        <v>0.50960000000000005</v>
      </c>
      <c r="S61" s="7">
        <v>9.4829500000000007</v>
      </c>
      <c r="T61" s="5">
        <v>160</v>
      </c>
      <c r="U61" s="4">
        <v>43318</v>
      </c>
      <c r="V61" s="5">
        <v>9845235505</v>
      </c>
      <c r="W61" s="6" t="s">
        <v>68</v>
      </c>
      <c r="X61" s="5" t="s">
        <v>31</v>
      </c>
      <c r="Y61" s="6" t="s">
        <v>32</v>
      </c>
      <c r="Z61" s="5" t="s">
        <v>56</v>
      </c>
      <c r="AA61" s="6" t="s">
        <v>55</v>
      </c>
      <c r="AB61" s="7">
        <v>9.99255E-2</v>
      </c>
      <c r="AD61" s="8"/>
      <c r="AF61" s="8"/>
      <c r="AG61" s="8"/>
    </row>
    <row r="62" spans="1:33" x14ac:dyDescent="0.2">
      <c r="A62" s="12">
        <v>4417</v>
      </c>
      <c r="B62" s="13" t="s">
        <v>30</v>
      </c>
      <c r="C62" s="13">
        <v>43318</v>
      </c>
      <c r="D62" s="5">
        <v>40</v>
      </c>
      <c r="E62" s="6" t="s">
        <v>60</v>
      </c>
      <c r="F62" s="5" t="s">
        <v>122</v>
      </c>
      <c r="G62" s="6" t="s">
        <v>121</v>
      </c>
      <c r="H62" s="5" t="str">
        <f>"000322"</f>
        <v>000322</v>
      </c>
      <c r="I62" s="4">
        <v>42809</v>
      </c>
      <c r="J62" s="5" t="str">
        <f>"000035"</f>
        <v>000035</v>
      </c>
      <c r="K62" s="4">
        <v>43013</v>
      </c>
      <c r="L62" s="5" t="str">
        <f>"000163"</f>
        <v>000163</v>
      </c>
      <c r="M62" s="4">
        <v>43013</v>
      </c>
      <c r="N62" s="5">
        <v>17</v>
      </c>
      <c r="O62" s="5" t="str">
        <f>"004834"</f>
        <v>004834</v>
      </c>
      <c r="P62" s="4">
        <v>43315</v>
      </c>
      <c r="Q62" s="7">
        <v>49.989400000000003</v>
      </c>
      <c r="R62" s="7">
        <v>2.5495399999999999</v>
      </c>
      <c r="S62" s="7">
        <v>47.439860000000003</v>
      </c>
      <c r="T62" s="5">
        <v>160</v>
      </c>
      <c r="U62" s="4">
        <v>43318</v>
      </c>
      <c r="V62" s="5">
        <v>9845235505</v>
      </c>
      <c r="W62" s="6" t="s">
        <v>120</v>
      </c>
      <c r="X62" s="5" t="s">
        <v>31</v>
      </c>
      <c r="Y62" s="6" t="s">
        <v>32</v>
      </c>
      <c r="Z62" s="5" t="s">
        <v>56</v>
      </c>
      <c r="AA62" s="6" t="s">
        <v>55</v>
      </c>
      <c r="AB62" s="7">
        <v>0.49989400000000006</v>
      </c>
      <c r="AD62" s="8"/>
      <c r="AF62" s="8"/>
      <c r="AG62" s="8"/>
    </row>
    <row r="63" spans="1:33" x14ac:dyDescent="0.2">
      <c r="A63" s="12">
        <v>4418</v>
      </c>
      <c r="B63" s="13" t="s">
        <v>30</v>
      </c>
      <c r="C63" s="13">
        <v>43318</v>
      </c>
      <c r="D63" s="5">
        <v>40</v>
      </c>
      <c r="E63" s="6" t="s">
        <v>60</v>
      </c>
      <c r="F63" s="5" t="s">
        <v>119</v>
      </c>
      <c r="G63" s="6" t="s">
        <v>118</v>
      </c>
      <c r="H63" s="5" t="str">
        <f>""</f>
        <v/>
      </c>
      <c r="I63" s="4">
        <v>325</v>
      </c>
      <c r="J63" s="5" t="str">
        <f>"000034"</f>
        <v>000034</v>
      </c>
      <c r="K63" s="4">
        <v>43013</v>
      </c>
      <c r="L63" s="5" t="str">
        <f>"000164"</f>
        <v>000164</v>
      </c>
      <c r="M63" s="4">
        <v>43013</v>
      </c>
      <c r="N63" s="5">
        <v>17</v>
      </c>
      <c r="O63" s="5" t="str">
        <f>"004835"</f>
        <v>004835</v>
      </c>
      <c r="P63" s="4">
        <v>43315</v>
      </c>
      <c r="Q63" s="7">
        <v>39.990839999999999</v>
      </c>
      <c r="R63" s="7">
        <v>1.3196099999999999</v>
      </c>
      <c r="S63" s="7">
        <v>38.671230000000001</v>
      </c>
      <c r="T63" s="5">
        <v>160</v>
      </c>
      <c r="U63" s="4">
        <v>43318</v>
      </c>
      <c r="V63" s="5">
        <v>9845235505</v>
      </c>
      <c r="W63" s="6" t="s">
        <v>68</v>
      </c>
      <c r="X63" s="5" t="s">
        <v>31</v>
      </c>
      <c r="Y63" s="6" t="s">
        <v>32</v>
      </c>
      <c r="Z63" s="5" t="s">
        <v>56</v>
      </c>
      <c r="AA63" s="6" t="s">
        <v>55</v>
      </c>
      <c r="AB63" s="7">
        <v>0.3999084</v>
      </c>
      <c r="AD63" s="8"/>
      <c r="AF63" s="8"/>
      <c r="AG63" s="8"/>
    </row>
    <row r="64" spans="1:33" x14ac:dyDescent="0.2">
      <c r="A64" s="12">
        <v>4419</v>
      </c>
      <c r="B64" s="13" t="s">
        <v>30</v>
      </c>
      <c r="C64" s="13">
        <v>43318</v>
      </c>
      <c r="D64" s="5">
        <v>40</v>
      </c>
      <c r="E64" s="6" t="s">
        <v>60</v>
      </c>
      <c r="F64" s="5" t="s">
        <v>117</v>
      </c>
      <c r="G64" s="6" t="s">
        <v>116</v>
      </c>
      <c r="H64" s="5" t="str">
        <f>"000321"</f>
        <v>000321</v>
      </c>
      <c r="I64" s="4">
        <v>42809</v>
      </c>
      <c r="J64" s="5" t="str">
        <f>"000032"</f>
        <v>000032</v>
      </c>
      <c r="K64" s="4">
        <v>43013</v>
      </c>
      <c r="L64" s="5" t="str">
        <f>"000166"</f>
        <v>000166</v>
      </c>
      <c r="M64" s="4">
        <v>43013</v>
      </c>
      <c r="N64" s="5">
        <v>17</v>
      </c>
      <c r="O64" s="5" t="str">
        <f>"004837"</f>
        <v>004837</v>
      </c>
      <c r="P64" s="4">
        <v>43315</v>
      </c>
      <c r="Q64" s="7">
        <v>9.1258300000000006</v>
      </c>
      <c r="R64" s="7">
        <v>0.71794000000000002</v>
      </c>
      <c r="S64" s="7">
        <v>8.4078900000000001</v>
      </c>
      <c r="T64" s="5">
        <v>160</v>
      </c>
      <c r="U64" s="4">
        <v>43318</v>
      </c>
      <c r="V64" s="5">
        <v>9845235505</v>
      </c>
      <c r="W64" s="6" t="s">
        <v>68</v>
      </c>
      <c r="X64" s="5" t="s">
        <v>31</v>
      </c>
      <c r="Y64" s="6" t="s">
        <v>32</v>
      </c>
      <c r="Z64" s="5" t="s">
        <v>56</v>
      </c>
      <c r="AA64" s="6" t="s">
        <v>55</v>
      </c>
      <c r="AB64" s="7">
        <v>9.1258300000000001E-2</v>
      </c>
      <c r="AD64" s="8"/>
      <c r="AF64" s="8"/>
      <c r="AG64" s="8"/>
    </row>
    <row r="65" spans="1:33" x14ac:dyDescent="0.2">
      <c r="A65" s="12">
        <v>4754</v>
      </c>
      <c r="B65" s="13" t="s">
        <v>30</v>
      </c>
      <c r="C65" s="13">
        <v>43326</v>
      </c>
      <c r="D65" s="5">
        <v>40</v>
      </c>
      <c r="E65" s="6" t="s">
        <v>60</v>
      </c>
      <c r="F65" s="5" t="s">
        <v>115</v>
      </c>
      <c r="G65" s="6" t="s">
        <v>114</v>
      </c>
      <c r="H65" s="5" t="str">
        <f>""</f>
        <v/>
      </c>
      <c r="I65" s="4"/>
      <c r="J65" s="5" t="str">
        <f>"000044"</f>
        <v>000044</v>
      </c>
      <c r="K65" s="4">
        <v>43026</v>
      </c>
      <c r="L65" s="5" t="str">
        <f>"000182"</f>
        <v>000182</v>
      </c>
      <c r="M65" s="4">
        <v>43031</v>
      </c>
      <c r="N65" s="5">
        <v>17</v>
      </c>
      <c r="O65" s="5" t="str">
        <f>"005026"</f>
        <v>005026</v>
      </c>
      <c r="P65" s="4">
        <v>43321</v>
      </c>
      <c r="Q65" s="7">
        <v>2.0439799999999999</v>
      </c>
      <c r="R65" s="7">
        <v>0.14512</v>
      </c>
      <c r="S65" s="7">
        <v>1.89886</v>
      </c>
      <c r="T65" s="5">
        <v>171</v>
      </c>
      <c r="U65" s="4">
        <v>43326</v>
      </c>
      <c r="V65" s="5">
        <v>9845235505</v>
      </c>
      <c r="W65" s="6" t="s">
        <v>68</v>
      </c>
      <c r="X65" s="5" t="s">
        <v>31</v>
      </c>
      <c r="Y65" s="6" t="s">
        <v>32</v>
      </c>
      <c r="Z65" s="5" t="s">
        <v>56</v>
      </c>
      <c r="AA65" s="6" t="s">
        <v>55</v>
      </c>
      <c r="AB65" s="7">
        <v>2.0439799999999998E-2</v>
      </c>
      <c r="AD65" s="8"/>
      <c r="AF65" s="8"/>
      <c r="AG65" s="8"/>
    </row>
    <row r="66" spans="1:33" x14ac:dyDescent="0.2">
      <c r="A66" s="12">
        <v>4755</v>
      </c>
      <c r="B66" s="13" t="s">
        <v>30</v>
      </c>
      <c r="C66" s="13">
        <v>43326</v>
      </c>
      <c r="D66" s="5">
        <v>40</v>
      </c>
      <c r="E66" s="6" t="s">
        <v>60</v>
      </c>
      <c r="F66" s="5" t="s">
        <v>115</v>
      </c>
      <c r="G66" s="6" t="s">
        <v>114</v>
      </c>
      <c r="H66" s="5" t="str">
        <f>""</f>
        <v/>
      </c>
      <c r="I66" s="4"/>
      <c r="J66" s="5" t="str">
        <f>"000044"</f>
        <v>000044</v>
      </c>
      <c r="K66" s="4">
        <v>43026</v>
      </c>
      <c r="L66" s="5" t="str">
        <f>"000182"</f>
        <v>000182</v>
      </c>
      <c r="M66" s="4">
        <v>43031</v>
      </c>
      <c r="N66" s="5">
        <v>17</v>
      </c>
      <c r="O66" s="5" t="str">
        <f>"005026"</f>
        <v>005026</v>
      </c>
      <c r="P66" s="4">
        <v>43321</v>
      </c>
      <c r="Q66" s="7">
        <v>7.9488000000000003</v>
      </c>
      <c r="R66" s="7">
        <v>0.56433999999999995</v>
      </c>
      <c r="S66" s="7">
        <v>7.3844599999999998</v>
      </c>
      <c r="T66" s="5">
        <v>171</v>
      </c>
      <c r="U66" s="4">
        <v>43326</v>
      </c>
      <c r="V66" s="5">
        <v>9845235505</v>
      </c>
      <c r="W66" s="6" t="s">
        <v>68</v>
      </c>
      <c r="X66" s="5" t="s">
        <v>31</v>
      </c>
      <c r="Y66" s="6" t="s">
        <v>32</v>
      </c>
      <c r="Z66" s="5" t="s">
        <v>56</v>
      </c>
      <c r="AA66" s="6" t="s">
        <v>55</v>
      </c>
      <c r="AB66" s="7">
        <v>7.9488000000000003E-2</v>
      </c>
      <c r="AD66" s="8"/>
      <c r="AF66" s="8"/>
      <c r="AG66" s="8"/>
    </row>
    <row r="67" spans="1:33" x14ac:dyDescent="0.2">
      <c r="A67" s="12">
        <v>4756</v>
      </c>
      <c r="B67" s="13" t="s">
        <v>30</v>
      </c>
      <c r="C67" s="13">
        <v>43326</v>
      </c>
      <c r="D67" s="5">
        <v>40</v>
      </c>
      <c r="E67" s="6" t="s">
        <v>60</v>
      </c>
      <c r="F67" s="5" t="s">
        <v>113</v>
      </c>
      <c r="G67" s="6" t="s">
        <v>112</v>
      </c>
      <c r="H67" s="5" t="str">
        <f>""</f>
        <v/>
      </c>
      <c r="I67" s="4">
        <v>326</v>
      </c>
      <c r="J67" s="5" t="str">
        <f>"000041"</f>
        <v>000041</v>
      </c>
      <c r="K67" s="4">
        <v>43026</v>
      </c>
      <c r="L67" s="5" t="str">
        <f>"000181"</f>
        <v>000181</v>
      </c>
      <c r="M67" s="4">
        <v>43031</v>
      </c>
      <c r="N67" s="5">
        <v>17</v>
      </c>
      <c r="O67" s="5" t="str">
        <f>"005029"</f>
        <v>005029</v>
      </c>
      <c r="P67" s="4">
        <v>43321</v>
      </c>
      <c r="Q67" s="7">
        <v>34.92897</v>
      </c>
      <c r="R67" s="7">
        <v>4.2263799999999998</v>
      </c>
      <c r="S67" s="7">
        <v>30.702590000000001</v>
      </c>
      <c r="T67" s="5">
        <v>171</v>
      </c>
      <c r="U67" s="4">
        <v>43326</v>
      </c>
      <c r="V67" s="5">
        <v>9845035505</v>
      </c>
      <c r="W67" s="6" t="s">
        <v>68</v>
      </c>
      <c r="X67" s="5" t="s">
        <v>31</v>
      </c>
      <c r="Y67" s="6" t="s">
        <v>32</v>
      </c>
      <c r="Z67" s="5" t="s">
        <v>56</v>
      </c>
      <c r="AA67" s="6" t="s">
        <v>55</v>
      </c>
      <c r="AB67" s="7">
        <v>0.34928969999999998</v>
      </c>
      <c r="AD67" s="8"/>
      <c r="AF67" s="8"/>
      <c r="AG67" s="8"/>
    </row>
    <row r="68" spans="1:33" x14ac:dyDescent="0.2">
      <c r="A68" s="12">
        <v>4757</v>
      </c>
      <c r="B68" s="13" t="s">
        <v>30</v>
      </c>
      <c r="C68" s="13">
        <v>43326</v>
      </c>
      <c r="D68" s="5">
        <v>40</v>
      </c>
      <c r="E68" s="6" t="s">
        <v>60</v>
      </c>
      <c r="F68" s="5" t="s">
        <v>111</v>
      </c>
      <c r="G68" s="6" t="s">
        <v>110</v>
      </c>
      <c r="H68" s="5" t="str">
        <f>""</f>
        <v/>
      </c>
      <c r="I68" s="4">
        <v>206</v>
      </c>
      <c r="J68" s="5" t="str">
        <f>"000040"</f>
        <v>000040</v>
      </c>
      <c r="K68" s="4">
        <v>43025</v>
      </c>
      <c r="L68" s="5" t="str">
        <f>"000179"</f>
        <v>000179</v>
      </c>
      <c r="M68" s="4">
        <v>43025</v>
      </c>
      <c r="N68" s="5">
        <v>17</v>
      </c>
      <c r="O68" s="5" t="str">
        <f>"005094"</f>
        <v>005094</v>
      </c>
      <c r="P68" s="4">
        <v>43322</v>
      </c>
      <c r="Q68" s="7">
        <v>39.990839999999999</v>
      </c>
      <c r="R68" s="7">
        <v>2.83935</v>
      </c>
      <c r="S68" s="7">
        <v>37.151490000000003</v>
      </c>
      <c r="T68" s="5">
        <v>171</v>
      </c>
      <c r="U68" s="4">
        <v>43326</v>
      </c>
      <c r="V68" s="5">
        <v>9845035505</v>
      </c>
      <c r="W68" s="6" t="s">
        <v>68</v>
      </c>
      <c r="X68" s="5" t="s">
        <v>51</v>
      </c>
      <c r="Y68" s="6" t="s">
        <v>50</v>
      </c>
      <c r="Z68" s="5" t="s">
        <v>56</v>
      </c>
      <c r="AA68" s="6" t="s">
        <v>55</v>
      </c>
      <c r="AB68" s="7">
        <v>0.3999084</v>
      </c>
      <c r="AD68" s="8"/>
      <c r="AF68" s="8"/>
      <c r="AG68" s="8"/>
    </row>
    <row r="69" spans="1:33" x14ac:dyDescent="0.2">
      <c r="A69" s="12">
        <v>5128</v>
      </c>
      <c r="B69" s="13" t="s">
        <v>30</v>
      </c>
      <c r="C69" s="13">
        <v>43339</v>
      </c>
      <c r="D69" s="5">
        <v>40</v>
      </c>
      <c r="E69" s="6" t="s">
        <v>60</v>
      </c>
      <c r="F69" s="5" t="s">
        <v>109</v>
      </c>
      <c r="G69" s="6" t="s">
        <v>108</v>
      </c>
      <c r="H69" s="5" t="str">
        <f>"000377"</f>
        <v>000377</v>
      </c>
      <c r="I69" s="4">
        <v>43172</v>
      </c>
      <c r="J69" s="5" t="str">
        <f>"000091"</f>
        <v>000091</v>
      </c>
      <c r="K69" s="4">
        <v>43270</v>
      </c>
      <c r="L69" s="5" t="str">
        <f>"000212"</f>
        <v>000212</v>
      </c>
      <c r="M69" s="4">
        <v>43277</v>
      </c>
      <c r="N69" s="5">
        <v>17</v>
      </c>
      <c r="O69" s="5" t="str">
        <f>"005391"</f>
        <v>005391</v>
      </c>
      <c r="P69" s="4">
        <v>43339</v>
      </c>
      <c r="Q69" s="7">
        <v>1.3962000000000001</v>
      </c>
      <c r="R69" s="7">
        <v>4.3279999999999999E-2</v>
      </c>
      <c r="S69" s="7">
        <v>1.3529199999999999</v>
      </c>
      <c r="T69" s="5">
        <v>184</v>
      </c>
      <c r="U69" s="4">
        <v>43339</v>
      </c>
      <c r="V69" s="5">
        <v>7760304555</v>
      </c>
      <c r="W69" s="6" t="s">
        <v>107</v>
      </c>
      <c r="X69" s="5" t="s">
        <v>39</v>
      </c>
      <c r="Y69" s="6" t="s">
        <v>40</v>
      </c>
      <c r="Z69" s="5" t="s">
        <v>56</v>
      </c>
      <c r="AA69" s="6" t="s">
        <v>55</v>
      </c>
      <c r="AB69" s="7">
        <v>1.3962E-2</v>
      </c>
      <c r="AD69" s="8"/>
      <c r="AF69" s="8"/>
      <c r="AG69" s="8"/>
    </row>
    <row r="70" spans="1:33" x14ac:dyDescent="0.2">
      <c r="A70" s="12">
        <v>5623</v>
      </c>
      <c r="B70" s="13" t="s">
        <v>38</v>
      </c>
      <c r="C70" s="13">
        <v>43370</v>
      </c>
      <c r="D70" s="5">
        <v>40</v>
      </c>
      <c r="E70" s="6" t="s">
        <v>60</v>
      </c>
      <c r="F70" s="5" t="s">
        <v>106</v>
      </c>
      <c r="G70" s="6" t="s">
        <v>105</v>
      </c>
      <c r="H70" s="5" t="str">
        <f>"000204"</f>
        <v>000204</v>
      </c>
      <c r="I70" s="4">
        <v>42768</v>
      </c>
      <c r="J70" s="5" t="str">
        <f>"000070"</f>
        <v>000070</v>
      </c>
      <c r="K70" s="4">
        <v>43084</v>
      </c>
      <c r="L70" s="5" t="str">
        <f>"000261"</f>
        <v>000261</v>
      </c>
      <c r="M70" s="4">
        <v>43088</v>
      </c>
      <c r="N70" s="5">
        <v>17</v>
      </c>
      <c r="O70" s="5" t="str">
        <f>"005919"</f>
        <v>005919</v>
      </c>
      <c r="P70" s="4">
        <v>43368</v>
      </c>
      <c r="Q70" s="7">
        <v>49.049169999999997</v>
      </c>
      <c r="R70" s="7">
        <v>3.9729800000000002</v>
      </c>
      <c r="S70" s="7">
        <v>45.076189999999997</v>
      </c>
      <c r="T70" s="5">
        <v>218</v>
      </c>
      <c r="U70" s="4">
        <v>43370</v>
      </c>
      <c r="V70" s="5">
        <v>9845235505</v>
      </c>
      <c r="W70" s="6" t="s">
        <v>104</v>
      </c>
      <c r="X70" s="5" t="s">
        <v>103</v>
      </c>
      <c r="Y70" s="6" t="s">
        <v>102</v>
      </c>
      <c r="Z70" s="5" t="s">
        <v>56</v>
      </c>
      <c r="AA70" s="6" t="s">
        <v>55</v>
      </c>
      <c r="AB70" s="7">
        <f>Q70/100</f>
        <v>0.49049169999999997</v>
      </c>
      <c r="AD70" s="8"/>
      <c r="AF70" s="8"/>
      <c r="AG70" s="8"/>
    </row>
    <row r="71" spans="1:33" x14ac:dyDescent="0.2">
      <c r="A71" s="12">
        <v>5970</v>
      </c>
      <c r="B71" s="13" t="s">
        <v>42</v>
      </c>
      <c r="C71" s="13">
        <v>43385</v>
      </c>
      <c r="D71" s="5">
        <v>40</v>
      </c>
      <c r="E71" s="6" t="s">
        <v>60</v>
      </c>
      <c r="F71" s="5" t="s">
        <v>73</v>
      </c>
      <c r="G71" s="6" t="s">
        <v>72</v>
      </c>
      <c r="H71" s="5" t="str">
        <f>"000072"</f>
        <v>000072</v>
      </c>
      <c r="I71" s="4">
        <v>42602</v>
      </c>
      <c r="J71" s="5" t="str">
        <f>"000222"</f>
        <v>000222</v>
      </c>
      <c r="K71" s="4">
        <v>42768</v>
      </c>
      <c r="L71" s="5" t="str">
        <f>"000436"</f>
        <v>000436</v>
      </c>
      <c r="M71" s="4">
        <v>42772</v>
      </c>
      <c r="N71" s="5">
        <v>17</v>
      </c>
      <c r="O71" s="5" t="str">
        <f>"008137"</f>
        <v>008137</v>
      </c>
      <c r="P71" s="4">
        <v>42804</v>
      </c>
      <c r="Q71" s="7">
        <v>52.175629999999998</v>
      </c>
      <c r="R71" s="7">
        <v>2.1954500000000001</v>
      </c>
      <c r="S71" s="7">
        <v>49.980179999999997</v>
      </c>
      <c r="T71" s="5">
        <v>227</v>
      </c>
      <c r="U71" s="4">
        <v>43385</v>
      </c>
      <c r="V71" s="5">
        <v>9448450661</v>
      </c>
      <c r="W71" s="6" t="s">
        <v>71</v>
      </c>
      <c r="X71" s="5" t="s">
        <v>28</v>
      </c>
      <c r="Y71" s="6" t="s">
        <v>29</v>
      </c>
      <c r="Z71" s="5" t="s">
        <v>56</v>
      </c>
      <c r="AA71" s="6" t="s">
        <v>55</v>
      </c>
      <c r="AB71" s="7">
        <f>Q71/100</f>
        <v>0.52175629999999995</v>
      </c>
      <c r="AD71" s="8"/>
      <c r="AF71" s="8"/>
      <c r="AG71" s="8"/>
    </row>
    <row r="72" spans="1:33" x14ac:dyDescent="0.2">
      <c r="A72" s="12">
        <v>5971</v>
      </c>
      <c r="B72" s="13" t="s">
        <v>42</v>
      </c>
      <c r="C72" s="13">
        <v>43385</v>
      </c>
      <c r="D72" s="5">
        <v>40</v>
      </c>
      <c r="E72" s="6" t="s">
        <v>60</v>
      </c>
      <c r="F72" s="5" t="s">
        <v>101</v>
      </c>
      <c r="G72" s="6" t="s">
        <v>100</v>
      </c>
      <c r="H72" s="5" t="str">
        <f>"000240"</f>
        <v>000240</v>
      </c>
      <c r="I72" s="4">
        <v>42789</v>
      </c>
      <c r="J72" s="5" t="str">
        <f>"000003"</f>
        <v>000003</v>
      </c>
      <c r="K72" s="4">
        <v>43194</v>
      </c>
      <c r="L72" s="5" t="str">
        <f>"000035"</f>
        <v>000035</v>
      </c>
      <c r="M72" s="4">
        <v>43201</v>
      </c>
      <c r="N72" s="5">
        <v>17</v>
      </c>
      <c r="O72" s="5" t="str">
        <f>"006299"</f>
        <v>006299</v>
      </c>
      <c r="P72" s="4">
        <v>43380</v>
      </c>
      <c r="Q72" s="7">
        <v>46.632069999999999</v>
      </c>
      <c r="R72" s="7">
        <v>4.0599400000000001</v>
      </c>
      <c r="S72" s="7">
        <v>42.572130000000001</v>
      </c>
      <c r="T72" s="5">
        <v>228</v>
      </c>
      <c r="U72" s="4">
        <v>43385</v>
      </c>
      <c r="V72" s="5">
        <v>9845235505</v>
      </c>
      <c r="W72" s="6" t="s">
        <v>74</v>
      </c>
      <c r="X72" s="5" t="s">
        <v>28</v>
      </c>
      <c r="Y72" s="6" t="s">
        <v>29</v>
      </c>
      <c r="Z72" s="5" t="s">
        <v>56</v>
      </c>
      <c r="AA72" s="6" t="s">
        <v>55</v>
      </c>
      <c r="AB72" s="7">
        <f>Q72/100</f>
        <v>0.46632069999999998</v>
      </c>
      <c r="AD72" s="8"/>
      <c r="AF72" s="8"/>
      <c r="AG72" s="8"/>
    </row>
    <row r="73" spans="1:33" x14ac:dyDescent="0.2">
      <c r="A73" s="12">
        <v>5972</v>
      </c>
      <c r="B73" s="13" t="s">
        <v>42</v>
      </c>
      <c r="C73" s="13">
        <v>43385</v>
      </c>
      <c r="D73" s="5">
        <v>40</v>
      </c>
      <c r="E73" s="6" t="s">
        <v>60</v>
      </c>
      <c r="F73" s="5" t="s">
        <v>73</v>
      </c>
      <c r="G73" s="6" t="s">
        <v>72</v>
      </c>
      <c r="H73" s="5" t="str">
        <f>"000072"</f>
        <v>000072</v>
      </c>
      <c r="I73" s="4">
        <v>42602</v>
      </c>
      <c r="J73" s="5" t="str">
        <f>"000222"</f>
        <v>000222</v>
      </c>
      <c r="K73" s="4">
        <v>42768</v>
      </c>
      <c r="L73" s="5" t="str">
        <f>"000436"</f>
        <v>000436</v>
      </c>
      <c r="M73" s="4">
        <v>42772</v>
      </c>
      <c r="N73" s="5">
        <v>17</v>
      </c>
      <c r="O73" s="5" t="str">
        <f>"008137"</f>
        <v>008137</v>
      </c>
      <c r="P73" s="4">
        <v>42804</v>
      </c>
      <c r="Q73" s="7">
        <v>52.175629999999998</v>
      </c>
      <c r="R73" s="7">
        <v>2.1954500000000001</v>
      </c>
      <c r="S73" s="7">
        <v>49.980179999999997</v>
      </c>
      <c r="T73" s="5">
        <v>227</v>
      </c>
      <c r="U73" s="4">
        <v>43385</v>
      </c>
      <c r="V73" s="5">
        <v>9448450661</v>
      </c>
      <c r="W73" s="6" t="s">
        <v>71</v>
      </c>
      <c r="X73" s="5" t="s">
        <v>28</v>
      </c>
      <c r="Y73" s="6" t="s">
        <v>29</v>
      </c>
      <c r="Z73" s="5" t="s">
        <v>56</v>
      </c>
      <c r="AA73" s="6" t="s">
        <v>55</v>
      </c>
      <c r="AB73" s="7">
        <f>Q73/100</f>
        <v>0.52175629999999995</v>
      </c>
      <c r="AD73" s="8"/>
      <c r="AF73" s="8"/>
      <c r="AG73" s="8"/>
    </row>
    <row r="74" spans="1:33" x14ac:dyDescent="0.2">
      <c r="A74" s="12">
        <v>5973</v>
      </c>
      <c r="B74" s="13" t="s">
        <v>42</v>
      </c>
      <c r="C74" s="13">
        <v>43385</v>
      </c>
      <c r="D74" s="5">
        <v>40</v>
      </c>
      <c r="E74" s="6" t="s">
        <v>60</v>
      </c>
      <c r="F74" s="5" t="s">
        <v>101</v>
      </c>
      <c r="G74" s="6" t="s">
        <v>100</v>
      </c>
      <c r="H74" s="5" t="str">
        <f>"000240"</f>
        <v>000240</v>
      </c>
      <c r="I74" s="4">
        <v>42789</v>
      </c>
      <c r="J74" s="5" t="str">
        <f>"000003"</f>
        <v>000003</v>
      </c>
      <c r="K74" s="4">
        <v>43194</v>
      </c>
      <c r="L74" s="5" t="str">
        <f>"000035"</f>
        <v>000035</v>
      </c>
      <c r="M74" s="4">
        <v>43201</v>
      </c>
      <c r="N74" s="5">
        <v>17</v>
      </c>
      <c r="O74" s="5" t="str">
        <f>"006299"</f>
        <v>006299</v>
      </c>
      <c r="P74" s="4">
        <v>43380</v>
      </c>
      <c r="Q74" s="7">
        <v>46.632069999999999</v>
      </c>
      <c r="R74" s="7">
        <v>4.0599400000000001</v>
      </c>
      <c r="S74" s="7">
        <v>42.572130000000001</v>
      </c>
      <c r="T74" s="5">
        <v>228</v>
      </c>
      <c r="U74" s="4">
        <v>43385</v>
      </c>
      <c r="V74" s="5">
        <v>9845235505</v>
      </c>
      <c r="W74" s="6" t="s">
        <v>74</v>
      </c>
      <c r="X74" s="5" t="s">
        <v>28</v>
      </c>
      <c r="Y74" s="6" t="s">
        <v>29</v>
      </c>
      <c r="Z74" s="5" t="s">
        <v>56</v>
      </c>
      <c r="AA74" s="6" t="s">
        <v>55</v>
      </c>
      <c r="AB74" s="7">
        <f>Q74/100</f>
        <v>0.46632069999999998</v>
      </c>
      <c r="AD74" s="8"/>
      <c r="AF74" s="8"/>
      <c r="AG74" s="8"/>
    </row>
    <row r="75" spans="1:33" x14ac:dyDescent="0.2">
      <c r="A75" s="12">
        <v>5974</v>
      </c>
      <c r="B75" s="13" t="s">
        <v>42</v>
      </c>
      <c r="C75" s="13">
        <v>43385</v>
      </c>
      <c r="D75" s="5">
        <v>40</v>
      </c>
      <c r="E75" s="6" t="s">
        <v>60</v>
      </c>
      <c r="F75" s="5" t="s">
        <v>99</v>
      </c>
      <c r="G75" s="6" t="s">
        <v>98</v>
      </c>
      <c r="H75" s="5" t="str">
        <f>"000161"</f>
        <v>000161</v>
      </c>
      <c r="I75" s="4">
        <v>43244</v>
      </c>
      <c r="J75" s="5" t="str">
        <f>"000167"</f>
        <v>000167</v>
      </c>
      <c r="K75" s="4">
        <v>43425</v>
      </c>
      <c r="L75" s="5" t="str">
        <f>"000355"</f>
        <v>000355</v>
      </c>
      <c r="M75" s="4">
        <v>43426</v>
      </c>
      <c r="N75" s="5">
        <v>18</v>
      </c>
      <c r="O75" s="5" t="str">
        <f>"008443"</f>
        <v>008443</v>
      </c>
      <c r="P75" s="4">
        <v>43463</v>
      </c>
      <c r="Q75" s="7">
        <v>34.295000000000002</v>
      </c>
      <c r="R75" s="7">
        <v>2.9979</v>
      </c>
      <c r="S75" s="7">
        <v>31.2971</v>
      </c>
      <c r="T75" s="5">
        <v>232</v>
      </c>
      <c r="U75" s="4">
        <v>43385</v>
      </c>
      <c r="V75" s="5">
        <v>9845235505</v>
      </c>
      <c r="W75" s="6" t="s">
        <v>79</v>
      </c>
      <c r="X75" s="5" t="s">
        <v>28</v>
      </c>
      <c r="Y75" s="6" t="s">
        <v>29</v>
      </c>
      <c r="Z75" s="5" t="s">
        <v>56</v>
      </c>
      <c r="AA75" s="6" t="s">
        <v>55</v>
      </c>
      <c r="AB75" s="7">
        <f>Q75/100</f>
        <v>0.34295000000000003</v>
      </c>
      <c r="AD75" s="8"/>
      <c r="AF75" s="8"/>
      <c r="AG75" s="8"/>
    </row>
    <row r="76" spans="1:33" x14ac:dyDescent="0.2">
      <c r="A76" s="12">
        <v>5975</v>
      </c>
      <c r="B76" s="13" t="s">
        <v>42</v>
      </c>
      <c r="C76" s="13">
        <v>43385</v>
      </c>
      <c r="D76" s="5">
        <v>40</v>
      </c>
      <c r="E76" s="6" t="s">
        <v>60</v>
      </c>
      <c r="F76" s="5" t="s">
        <v>97</v>
      </c>
      <c r="G76" s="6" t="s">
        <v>96</v>
      </c>
      <c r="H76" s="5" t="str">
        <f>"000160"</f>
        <v>000160</v>
      </c>
      <c r="I76" s="4">
        <v>43244</v>
      </c>
      <c r="J76" s="5" t="str">
        <f>"000165"</f>
        <v>000165</v>
      </c>
      <c r="K76" s="4">
        <v>43425</v>
      </c>
      <c r="L76" s="5" t="str">
        <f>"000356"</f>
        <v>000356</v>
      </c>
      <c r="M76" s="4">
        <v>43426</v>
      </c>
      <c r="N76" s="5">
        <v>18</v>
      </c>
      <c r="O76" s="5" t="str">
        <f>"008444"</f>
        <v>008444</v>
      </c>
      <c r="P76" s="4">
        <v>43463</v>
      </c>
      <c r="Q76" s="7">
        <v>34.643819999999998</v>
      </c>
      <c r="R76" s="7">
        <v>3.0261499999999999</v>
      </c>
      <c r="S76" s="7">
        <v>31.61767</v>
      </c>
      <c r="T76" s="5">
        <v>232</v>
      </c>
      <c r="U76" s="4">
        <v>43385</v>
      </c>
      <c r="V76" s="5">
        <v>9845235505</v>
      </c>
      <c r="W76" s="6" t="s">
        <v>79</v>
      </c>
      <c r="X76" s="5" t="s">
        <v>28</v>
      </c>
      <c r="Y76" s="6" t="s">
        <v>29</v>
      </c>
      <c r="Z76" s="5" t="s">
        <v>56</v>
      </c>
      <c r="AA76" s="6" t="s">
        <v>55</v>
      </c>
      <c r="AB76" s="7">
        <f>Q76/100</f>
        <v>0.34643819999999997</v>
      </c>
      <c r="AD76" s="8"/>
      <c r="AF76" s="8"/>
      <c r="AG76" s="8"/>
    </row>
    <row r="77" spans="1:33" x14ac:dyDescent="0.2">
      <c r="A77" s="12">
        <v>5976</v>
      </c>
      <c r="B77" s="13" t="s">
        <v>42</v>
      </c>
      <c r="C77" s="13">
        <v>43385</v>
      </c>
      <c r="D77" s="5">
        <v>40</v>
      </c>
      <c r="E77" s="6" t="s">
        <v>60</v>
      </c>
      <c r="F77" s="5" t="s">
        <v>95</v>
      </c>
      <c r="G77" s="6" t="s">
        <v>94</v>
      </c>
      <c r="H77" s="5" t="str">
        <f>"000157"</f>
        <v>000157</v>
      </c>
      <c r="I77" s="4">
        <v>43244</v>
      </c>
      <c r="J77" s="5" t="str">
        <f>"000172"</f>
        <v>000172</v>
      </c>
      <c r="K77" s="4">
        <v>43425</v>
      </c>
      <c r="L77" s="5" t="str">
        <f>"000359"</f>
        <v>000359</v>
      </c>
      <c r="M77" s="4">
        <v>43427</v>
      </c>
      <c r="N77" s="5">
        <v>18</v>
      </c>
      <c r="O77" s="5" t="str">
        <f>"008449"</f>
        <v>008449</v>
      </c>
      <c r="P77" s="4">
        <v>43463</v>
      </c>
      <c r="Q77" s="7">
        <v>23.849070000000001</v>
      </c>
      <c r="R77" s="7">
        <v>2.1117699999999999</v>
      </c>
      <c r="S77" s="7">
        <v>21.737300000000001</v>
      </c>
      <c r="T77" s="5">
        <v>232</v>
      </c>
      <c r="U77" s="4">
        <v>43385</v>
      </c>
      <c r="V77" s="5">
        <v>9845235505</v>
      </c>
      <c r="W77" s="6" t="s">
        <v>79</v>
      </c>
      <c r="X77" s="5" t="s">
        <v>28</v>
      </c>
      <c r="Y77" s="6" t="s">
        <v>29</v>
      </c>
      <c r="Z77" s="5" t="s">
        <v>56</v>
      </c>
      <c r="AA77" s="6" t="s">
        <v>55</v>
      </c>
      <c r="AB77" s="7">
        <f>Q77/100</f>
        <v>0.2384907</v>
      </c>
      <c r="AD77" s="8"/>
      <c r="AF77" s="8"/>
      <c r="AG77" s="8"/>
    </row>
    <row r="78" spans="1:33" x14ac:dyDescent="0.2">
      <c r="A78" s="12">
        <v>5977</v>
      </c>
      <c r="B78" s="13" t="s">
        <v>42</v>
      </c>
      <c r="C78" s="13">
        <v>43385</v>
      </c>
      <c r="D78" s="5">
        <v>40</v>
      </c>
      <c r="E78" s="6" t="s">
        <v>60</v>
      </c>
      <c r="F78" s="5" t="s">
        <v>93</v>
      </c>
      <c r="G78" s="6" t="s">
        <v>92</v>
      </c>
      <c r="H78" s="5" t="str">
        <f>"000158"</f>
        <v>000158</v>
      </c>
      <c r="I78" s="4">
        <v>43244</v>
      </c>
      <c r="J78" s="5" t="str">
        <f>"000169"</f>
        <v>000169</v>
      </c>
      <c r="K78" s="4">
        <v>43425</v>
      </c>
      <c r="L78" s="5" t="str">
        <f>"000352"</f>
        <v>000352</v>
      </c>
      <c r="M78" s="4">
        <v>43426</v>
      </c>
      <c r="N78" s="5">
        <v>18</v>
      </c>
      <c r="O78" s="5" t="str">
        <f>"008440"</f>
        <v>008440</v>
      </c>
      <c r="P78" s="4">
        <v>43463</v>
      </c>
      <c r="Q78" s="7">
        <v>34.711129999999997</v>
      </c>
      <c r="R78" s="7">
        <v>3.0316000000000001</v>
      </c>
      <c r="S78" s="7">
        <v>31.67953</v>
      </c>
      <c r="T78" s="5">
        <v>232</v>
      </c>
      <c r="U78" s="4">
        <v>43385</v>
      </c>
      <c r="V78" s="5">
        <v>9845235505</v>
      </c>
      <c r="W78" s="6" t="s">
        <v>79</v>
      </c>
      <c r="X78" s="5" t="s">
        <v>28</v>
      </c>
      <c r="Y78" s="6" t="s">
        <v>29</v>
      </c>
      <c r="Z78" s="5" t="s">
        <v>56</v>
      </c>
      <c r="AA78" s="6" t="s">
        <v>55</v>
      </c>
      <c r="AB78" s="7">
        <f>Q78/100</f>
        <v>0.34711129999999996</v>
      </c>
      <c r="AD78" s="8"/>
      <c r="AF78" s="8"/>
      <c r="AG78" s="8"/>
    </row>
    <row r="79" spans="1:33" x14ac:dyDescent="0.2">
      <c r="A79" s="12">
        <v>5978</v>
      </c>
      <c r="B79" s="13" t="s">
        <v>42</v>
      </c>
      <c r="C79" s="13">
        <v>43385</v>
      </c>
      <c r="D79" s="5">
        <v>40</v>
      </c>
      <c r="E79" s="6" t="s">
        <v>60</v>
      </c>
      <c r="F79" s="5" t="s">
        <v>91</v>
      </c>
      <c r="G79" s="6" t="s">
        <v>90</v>
      </c>
      <c r="H79" s="5" t="str">
        <f>"000163"</f>
        <v>000163</v>
      </c>
      <c r="I79" s="4">
        <v>43244</v>
      </c>
      <c r="J79" s="5" t="str">
        <f>"000174"</f>
        <v>000174</v>
      </c>
      <c r="K79" s="4">
        <v>43425</v>
      </c>
      <c r="L79" s="5" t="str">
        <f>"000361"</f>
        <v>000361</v>
      </c>
      <c r="M79" s="4">
        <v>43427</v>
      </c>
      <c r="N79" s="5">
        <v>18</v>
      </c>
      <c r="O79" s="5" t="str">
        <f>"008447"</f>
        <v>008447</v>
      </c>
      <c r="P79" s="4">
        <v>43463</v>
      </c>
      <c r="Q79" s="7">
        <v>34.81662</v>
      </c>
      <c r="R79" s="7">
        <v>3.0401500000000001</v>
      </c>
      <c r="S79" s="7">
        <v>31.77647</v>
      </c>
      <c r="T79" s="5">
        <v>232</v>
      </c>
      <c r="U79" s="4">
        <v>43385</v>
      </c>
      <c r="V79" s="5">
        <v>9845235505</v>
      </c>
      <c r="W79" s="6" t="s">
        <v>79</v>
      </c>
      <c r="X79" s="5" t="s">
        <v>28</v>
      </c>
      <c r="Y79" s="6" t="s">
        <v>29</v>
      </c>
      <c r="Z79" s="5" t="s">
        <v>56</v>
      </c>
      <c r="AA79" s="6" t="s">
        <v>55</v>
      </c>
      <c r="AB79" s="7">
        <f>Q79/100</f>
        <v>0.34816619999999998</v>
      </c>
      <c r="AD79" s="8"/>
      <c r="AF79" s="8"/>
      <c r="AG79" s="8"/>
    </row>
    <row r="80" spans="1:33" x14ac:dyDescent="0.2">
      <c r="A80" s="12">
        <v>5979</v>
      </c>
      <c r="B80" s="13" t="s">
        <v>42</v>
      </c>
      <c r="C80" s="13">
        <v>43385</v>
      </c>
      <c r="D80" s="5">
        <v>40</v>
      </c>
      <c r="E80" s="6" t="s">
        <v>60</v>
      </c>
      <c r="F80" s="5" t="s">
        <v>89</v>
      </c>
      <c r="G80" s="6" t="s">
        <v>88</v>
      </c>
      <c r="H80" s="5" t="str">
        <f>"000155"</f>
        <v>000155</v>
      </c>
      <c r="I80" s="4">
        <v>43244</v>
      </c>
      <c r="J80" s="5" t="str">
        <f>"000170"</f>
        <v>000170</v>
      </c>
      <c r="K80" s="4">
        <v>43425</v>
      </c>
      <c r="L80" s="5" t="str">
        <f>"000357"</f>
        <v>000357</v>
      </c>
      <c r="M80" s="4">
        <v>43426</v>
      </c>
      <c r="N80" s="5">
        <v>18</v>
      </c>
      <c r="O80" s="5" t="str">
        <f>"008445"</f>
        <v>008445</v>
      </c>
      <c r="P80" s="4">
        <v>43463</v>
      </c>
      <c r="Q80" s="7">
        <v>34.461129999999997</v>
      </c>
      <c r="R80" s="7">
        <v>3.0113500000000002</v>
      </c>
      <c r="S80" s="7">
        <v>31.449780000000001</v>
      </c>
      <c r="T80" s="5">
        <v>232</v>
      </c>
      <c r="U80" s="4">
        <v>43385</v>
      </c>
      <c r="V80" s="5">
        <v>9845235505</v>
      </c>
      <c r="W80" s="6" t="s">
        <v>79</v>
      </c>
      <c r="X80" s="5" t="s">
        <v>28</v>
      </c>
      <c r="Y80" s="6" t="s">
        <v>29</v>
      </c>
      <c r="Z80" s="5" t="s">
        <v>56</v>
      </c>
      <c r="AA80" s="6" t="s">
        <v>55</v>
      </c>
      <c r="AB80" s="7">
        <f>Q80/100</f>
        <v>0.34461129999999995</v>
      </c>
      <c r="AD80" s="8"/>
      <c r="AF80" s="8"/>
      <c r="AG80" s="8"/>
    </row>
    <row r="81" spans="1:33" x14ac:dyDescent="0.2">
      <c r="A81" s="12">
        <v>5980</v>
      </c>
      <c r="B81" s="13" t="s">
        <v>42</v>
      </c>
      <c r="C81" s="13">
        <v>43385</v>
      </c>
      <c r="D81" s="5">
        <v>40</v>
      </c>
      <c r="E81" s="6" t="s">
        <v>60</v>
      </c>
      <c r="F81" s="5" t="s">
        <v>87</v>
      </c>
      <c r="G81" s="6" t="s">
        <v>86</v>
      </c>
      <c r="H81" s="5" t="str">
        <f>"000159"</f>
        <v>000159</v>
      </c>
      <c r="I81" s="4">
        <v>43244</v>
      </c>
      <c r="J81" s="5" t="str">
        <f>"000168"</f>
        <v>000168</v>
      </c>
      <c r="K81" s="4">
        <v>43425</v>
      </c>
      <c r="L81" s="5" t="str">
        <f>"000353"</f>
        <v>000353</v>
      </c>
      <c r="M81" s="4">
        <v>43426</v>
      </c>
      <c r="N81" s="5">
        <v>18</v>
      </c>
      <c r="O81" s="5" t="str">
        <f>"008441"</f>
        <v>008441</v>
      </c>
      <c r="P81" s="4">
        <v>43463</v>
      </c>
      <c r="Q81" s="7">
        <v>34.616489999999999</v>
      </c>
      <c r="R81" s="7">
        <v>3.02393</v>
      </c>
      <c r="S81" s="7">
        <v>31.592559999999999</v>
      </c>
      <c r="T81" s="5">
        <v>232</v>
      </c>
      <c r="U81" s="4">
        <v>43385</v>
      </c>
      <c r="V81" s="5">
        <v>9845235505</v>
      </c>
      <c r="W81" s="6" t="s">
        <v>79</v>
      </c>
      <c r="X81" s="5" t="s">
        <v>28</v>
      </c>
      <c r="Y81" s="6" t="s">
        <v>29</v>
      </c>
      <c r="Z81" s="5" t="s">
        <v>56</v>
      </c>
      <c r="AA81" s="6" t="s">
        <v>55</v>
      </c>
      <c r="AB81" s="7">
        <f>Q81/100</f>
        <v>0.3461649</v>
      </c>
      <c r="AD81" s="8"/>
      <c r="AF81" s="8"/>
      <c r="AG81" s="8"/>
    </row>
    <row r="82" spans="1:33" x14ac:dyDescent="0.2">
      <c r="A82" s="12">
        <v>5981</v>
      </c>
      <c r="B82" s="13" t="s">
        <v>42</v>
      </c>
      <c r="C82" s="13">
        <v>43385</v>
      </c>
      <c r="D82" s="5">
        <v>40</v>
      </c>
      <c r="E82" s="6" t="s">
        <v>60</v>
      </c>
      <c r="F82" s="5" t="s">
        <v>85</v>
      </c>
      <c r="G82" s="6" t="s">
        <v>84</v>
      </c>
      <c r="H82" s="5" t="str">
        <f>"000162"</f>
        <v>000162</v>
      </c>
      <c r="I82" s="4">
        <v>43244</v>
      </c>
      <c r="J82" s="5" t="str">
        <f>"000173"</f>
        <v>000173</v>
      </c>
      <c r="K82" s="4">
        <v>43425</v>
      </c>
      <c r="L82" s="5" t="str">
        <f>"000360"</f>
        <v>000360</v>
      </c>
      <c r="M82" s="4">
        <v>43427</v>
      </c>
      <c r="N82" s="5">
        <v>18</v>
      </c>
      <c r="O82" s="5" t="str">
        <f>"008446"</f>
        <v>008446</v>
      </c>
      <c r="P82" s="4">
        <v>43463</v>
      </c>
      <c r="Q82" s="7">
        <v>34.416829999999997</v>
      </c>
      <c r="R82" s="7">
        <v>3.0077699999999998</v>
      </c>
      <c r="S82" s="7">
        <v>31.40906</v>
      </c>
      <c r="T82" s="5">
        <v>232</v>
      </c>
      <c r="U82" s="4">
        <v>43385</v>
      </c>
      <c r="V82" s="5">
        <v>9845235505</v>
      </c>
      <c r="W82" s="6" t="s">
        <v>79</v>
      </c>
      <c r="X82" s="5" t="s">
        <v>28</v>
      </c>
      <c r="Y82" s="6" t="s">
        <v>29</v>
      </c>
      <c r="Z82" s="5" t="s">
        <v>56</v>
      </c>
      <c r="AA82" s="6" t="s">
        <v>55</v>
      </c>
      <c r="AB82" s="7">
        <f>Q82/100</f>
        <v>0.34416829999999998</v>
      </c>
      <c r="AD82" s="8"/>
      <c r="AF82" s="8"/>
      <c r="AG82" s="8"/>
    </row>
    <row r="83" spans="1:33" x14ac:dyDescent="0.2">
      <c r="A83" s="12">
        <v>5982</v>
      </c>
      <c r="B83" s="13" t="s">
        <v>42</v>
      </c>
      <c r="C83" s="13">
        <v>43385</v>
      </c>
      <c r="D83" s="5">
        <v>40</v>
      </c>
      <c r="E83" s="6" t="s">
        <v>60</v>
      </c>
      <c r="F83" s="5" t="s">
        <v>83</v>
      </c>
      <c r="G83" s="6" t="s">
        <v>82</v>
      </c>
      <c r="H83" s="5" t="str">
        <f>"000156"</f>
        <v>000156</v>
      </c>
      <c r="I83" s="4">
        <v>43244</v>
      </c>
      <c r="J83" s="5" t="str">
        <f>"000171"</f>
        <v>000171</v>
      </c>
      <c r="K83" s="4">
        <v>43425</v>
      </c>
      <c r="L83" s="5" t="str">
        <f>"000358"</f>
        <v>000358</v>
      </c>
      <c r="M83" s="4">
        <v>43427</v>
      </c>
      <c r="N83" s="5">
        <v>18</v>
      </c>
      <c r="O83" s="5" t="str">
        <f>"008448"</f>
        <v>008448</v>
      </c>
      <c r="P83" s="4">
        <v>43463</v>
      </c>
      <c r="Q83" s="7">
        <v>24.880009999999999</v>
      </c>
      <c r="R83" s="7">
        <v>2.1952799999999999</v>
      </c>
      <c r="S83" s="7">
        <v>22.684729999999998</v>
      </c>
      <c r="T83" s="5">
        <v>232</v>
      </c>
      <c r="U83" s="4">
        <v>43385</v>
      </c>
      <c r="V83" s="5">
        <v>9845235505</v>
      </c>
      <c r="W83" s="6" t="s">
        <v>79</v>
      </c>
      <c r="X83" s="5" t="s">
        <v>28</v>
      </c>
      <c r="Y83" s="6" t="s">
        <v>29</v>
      </c>
      <c r="Z83" s="5" t="s">
        <v>56</v>
      </c>
      <c r="AA83" s="6" t="s">
        <v>55</v>
      </c>
      <c r="AB83" s="7">
        <f>Q83/100</f>
        <v>0.2488001</v>
      </c>
      <c r="AD83" s="8"/>
      <c r="AF83" s="8"/>
      <c r="AG83" s="8"/>
    </row>
    <row r="84" spans="1:33" x14ac:dyDescent="0.2">
      <c r="A84" s="12">
        <v>5983</v>
      </c>
      <c r="B84" s="13" t="s">
        <v>42</v>
      </c>
      <c r="C84" s="13">
        <v>43385</v>
      </c>
      <c r="D84" s="5">
        <v>40</v>
      </c>
      <c r="E84" s="6" t="s">
        <v>60</v>
      </c>
      <c r="F84" s="5" t="s">
        <v>81</v>
      </c>
      <c r="G84" s="6" t="s">
        <v>80</v>
      </c>
      <c r="H84" s="5" t="str">
        <f>"000154"</f>
        <v>000154</v>
      </c>
      <c r="I84" s="4">
        <v>43244</v>
      </c>
      <c r="J84" s="5" t="str">
        <f>"000166"</f>
        <v>000166</v>
      </c>
      <c r="K84" s="4">
        <v>43425</v>
      </c>
      <c r="L84" s="5" t="str">
        <f>"000354"</f>
        <v>000354</v>
      </c>
      <c r="M84" s="4">
        <v>43426</v>
      </c>
      <c r="N84" s="5">
        <v>18</v>
      </c>
      <c r="O84" s="5" t="str">
        <f>"008442"</f>
        <v>008442</v>
      </c>
      <c r="P84" s="4">
        <v>43463</v>
      </c>
      <c r="Q84" s="7">
        <v>34.388660000000002</v>
      </c>
      <c r="R84" s="7">
        <v>3.0054699999999999</v>
      </c>
      <c r="S84" s="7">
        <v>31.383189999999999</v>
      </c>
      <c r="T84" s="5">
        <v>232</v>
      </c>
      <c r="U84" s="4">
        <v>43385</v>
      </c>
      <c r="V84" s="5">
        <v>9845235505</v>
      </c>
      <c r="W84" s="6" t="s">
        <v>79</v>
      </c>
      <c r="X84" s="5" t="s">
        <v>28</v>
      </c>
      <c r="Y84" s="6" t="s">
        <v>29</v>
      </c>
      <c r="Z84" s="5" t="s">
        <v>56</v>
      </c>
      <c r="AA84" s="6" t="s">
        <v>55</v>
      </c>
      <c r="AB84" s="7">
        <f>Q84/100</f>
        <v>0.34388660000000004</v>
      </c>
      <c r="AD84" s="8"/>
      <c r="AF84" s="8"/>
      <c r="AG84" s="8"/>
    </row>
    <row r="85" spans="1:33" x14ac:dyDescent="0.2">
      <c r="A85" s="12">
        <v>5984</v>
      </c>
      <c r="B85" s="13" t="s">
        <v>42</v>
      </c>
      <c r="C85" s="13">
        <v>43385</v>
      </c>
      <c r="D85" s="5">
        <v>40</v>
      </c>
      <c r="E85" s="6" t="s">
        <v>60</v>
      </c>
      <c r="F85" s="5" t="s">
        <v>78</v>
      </c>
      <c r="G85" s="6" t="s">
        <v>77</v>
      </c>
      <c r="H85" s="5" t="str">
        <f>"000083"</f>
        <v>000083</v>
      </c>
      <c r="I85" s="4">
        <v>42657</v>
      </c>
      <c r="J85" s="5" t="str">
        <f>"000128"</f>
        <v>000128</v>
      </c>
      <c r="K85" s="4">
        <v>43344</v>
      </c>
      <c r="L85" s="5" t="str">
        <f>"000300"</f>
        <v>000300</v>
      </c>
      <c r="M85" s="4">
        <v>43346</v>
      </c>
      <c r="N85" s="5">
        <v>16</v>
      </c>
      <c r="O85" s="5" t="str">
        <f>"006612"</f>
        <v>006612</v>
      </c>
      <c r="P85" s="4">
        <v>43384</v>
      </c>
      <c r="Q85" s="7">
        <v>26.65033</v>
      </c>
      <c r="R85" s="7">
        <v>3.7886899999999999</v>
      </c>
      <c r="S85" s="7">
        <v>22.861640000000001</v>
      </c>
      <c r="T85" s="5">
        <v>234</v>
      </c>
      <c r="U85" s="4">
        <v>43385</v>
      </c>
      <c r="V85" s="5">
        <v>9845235505</v>
      </c>
      <c r="W85" s="6" t="s">
        <v>74</v>
      </c>
      <c r="X85" s="5" t="s">
        <v>44</v>
      </c>
      <c r="Y85" s="6" t="s">
        <v>43</v>
      </c>
      <c r="Z85" s="5" t="s">
        <v>56</v>
      </c>
      <c r="AA85" s="6" t="s">
        <v>55</v>
      </c>
      <c r="AB85" s="7">
        <f>Q85/100</f>
        <v>0.2665033</v>
      </c>
      <c r="AD85" s="8"/>
      <c r="AF85" s="8"/>
      <c r="AG85" s="8"/>
    </row>
    <row r="86" spans="1:33" x14ac:dyDescent="0.2">
      <c r="A86" s="12">
        <v>5985</v>
      </c>
      <c r="B86" s="13" t="s">
        <v>42</v>
      </c>
      <c r="C86" s="13">
        <v>43385</v>
      </c>
      <c r="D86" s="5">
        <v>40</v>
      </c>
      <c r="E86" s="6" t="s">
        <v>60</v>
      </c>
      <c r="F86" s="5" t="s">
        <v>76</v>
      </c>
      <c r="G86" s="6" t="s">
        <v>75</v>
      </c>
      <c r="H86" s="5" t="str">
        <f>"000013"</f>
        <v>000013</v>
      </c>
      <c r="I86" s="4">
        <v>42509</v>
      </c>
      <c r="J86" s="5" t="str">
        <f>"000172"</f>
        <v>000172</v>
      </c>
      <c r="K86" s="4">
        <v>42628</v>
      </c>
      <c r="L86" s="5" t="str">
        <f>"000273"</f>
        <v>000273</v>
      </c>
      <c r="M86" s="4">
        <v>42629</v>
      </c>
      <c r="N86" s="5">
        <v>16</v>
      </c>
      <c r="O86" s="5" t="str">
        <f>"000579"</f>
        <v>000579</v>
      </c>
      <c r="P86" s="4">
        <v>42847</v>
      </c>
      <c r="Q86" s="7">
        <v>38.732500000000002</v>
      </c>
      <c r="R86" s="7">
        <v>5.38964</v>
      </c>
      <c r="S86" s="7">
        <v>33.342860000000002</v>
      </c>
      <c r="T86" s="5">
        <v>234</v>
      </c>
      <c r="U86" s="4">
        <v>43385</v>
      </c>
      <c r="V86" s="5">
        <v>9845235505</v>
      </c>
      <c r="W86" s="6" t="s">
        <v>74</v>
      </c>
      <c r="X86" s="5" t="s">
        <v>44</v>
      </c>
      <c r="Y86" s="6" t="s">
        <v>43</v>
      </c>
      <c r="Z86" s="5" t="s">
        <v>56</v>
      </c>
      <c r="AA86" s="6" t="s">
        <v>55</v>
      </c>
      <c r="AB86" s="7">
        <f>Q86/100</f>
        <v>0.38732500000000003</v>
      </c>
      <c r="AD86" s="8"/>
      <c r="AF86" s="8"/>
      <c r="AG86" s="8"/>
    </row>
    <row r="87" spans="1:33" x14ac:dyDescent="0.2">
      <c r="A87" s="12">
        <v>5986</v>
      </c>
      <c r="B87" s="13" t="s">
        <v>42</v>
      </c>
      <c r="C87" s="13">
        <v>43385</v>
      </c>
      <c r="D87" s="5">
        <v>40</v>
      </c>
      <c r="E87" s="6" t="s">
        <v>60</v>
      </c>
      <c r="F87" s="5" t="s">
        <v>73</v>
      </c>
      <c r="G87" s="6" t="s">
        <v>72</v>
      </c>
      <c r="H87" s="5" t="str">
        <f>"000072"</f>
        <v>000072</v>
      </c>
      <c r="I87" s="4">
        <v>42602</v>
      </c>
      <c r="J87" s="5" t="str">
        <f>"000222"</f>
        <v>000222</v>
      </c>
      <c r="K87" s="4">
        <v>42768</v>
      </c>
      <c r="L87" s="5" t="str">
        <f>"000436"</f>
        <v>000436</v>
      </c>
      <c r="M87" s="4">
        <v>42772</v>
      </c>
      <c r="N87" s="5">
        <v>17</v>
      </c>
      <c r="O87" s="5" t="str">
        <f>"008137"</f>
        <v>008137</v>
      </c>
      <c r="P87" s="4">
        <v>42804</v>
      </c>
      <c r="Q87" s="7">
        <v>354.09208000000001</v>
      </c>
      <c r="R87" s="7">
        <v>10.39893</v>
      </c>
      <c r="S87" s="7">
        <v>343.69315</v>
      </c>
      <c r="T87" s="5">
        <v>234</v>
      </c>
      <c r="U87" s="4">
        <v>43385</v>
      </c>
      <c r="V87" s="5">
        <v>9448450661</v>
      </c>
      <c r="W87" s="6" t="s">
        <v>71</v>
      </c>
      <c r="X87" s="5" t="s">
        <v>28</v>
      </c>
      <c r="Y87" s="6" t="s">
        <v>29</v>
      </c>
      <c r="Z87" s="5" t="s">
        <v>56</v>
      </c>
      <c r="AA87" s="6" t="s">
        <v>55</v>
      </c>
      <c r="AB87" s="7">
        <f>Q87/100</f>
        <v>3.5409208000000003</v>
      </c>
      <c r="AD87" s="8"/>
      <c r="AF87" s="8"/>
      <c r="AG87" s="8"/>
    </row>
    <row r="88" spans="1:33" x14ac:dyDescent="0.2">
      <c r="A88" s="12">
        <v>6517</v>
      </c>
      <c r="B88" s="13" t="s">
        <v>42</v>
      </c>
      <c r="C88" s="13">
        <v>43389</v>
      </c>
      <c r="D88" s="5">
        <v>40</v>
      </c>
      <c r="E88" s="6" t="s">
        <v>60</v>
      </c>
      <c r="F88" s="5" t="s">
        <v>70</v>
      </c>
      <c r="G88" s="6" t="s">
        <v>69</v>
      </c>
      <c r="H88" s="5" t="str">
        <f>"000026"</f>
        <v>000026</v>
      </c>
      <c r="I88" s="4">
        <v>43004</v>
      </c>
      <c r="J88" s="5" t="str">
        <f>"000087"</f>
        <v>000087</v>
      </c>
      <c r="K88" s="4">
        <v>43117</v>
      </c>
      <c r="L88" s="5" t="str">
        <f>"000336"</f>
        <v>000336</v>
      </c>
      <c r="M88" s="4">
        <v>43117</v>
      </c>
      <c r="N88" s="5">
        <v>18</v>
      </c>
      <c r="O88" s="5" t="str">
        <f>"006442"</f>
        <v>006442</v>
      </c>
      <c r="P88" s="4">
        <v>43382</v>
      </c>
      <c r="Q88" s="7">
        <v>49.542459999999998</v>
      </c>
      <c r="R88" s="7">
        <v>5.0037700000000003</v>
      </c>
      <c r="S88" s="7">
        <v>44.538690000000003</v>
      </c>
      <c r="T88" s="5">
        <v>241</v>
      </c>
      <c r="U88" s="4">
        <v>43389</v>
      </c>
      <c r="V88" s="5">
        <v>9845235505</v>
      </c>
      <c r="W88" s="6" t="s">
        <v>68</v>
      </c>
      <c r="X88" s="5" t="s">
        <v>54</v>
      </c>
      <c r="Y88" s="6" t="s">
        <v>53</v>
      </c>
      <c r="Z88" s="5" t="s">
        <v>56</v>
      </c>
      <c r="AA88" s="6" t="s">
        <v>55</v>
      </c>
      <c r="AB88" s="7">
        <f>Q88/100</f>
        <v>0.49542459999999999</v>
      </c>
      <c r="AD88" s="8"/>
      <c r="AF88" s="8"/>
      <c r="AG88" s="8"/>
    </row>
    <row r="89" spans="1:33" x14ac:dyDescent="0.2">
      <c r="A89" s="12">
        <v>7491</v>
      </c>
      <c r="B89" s="13" t="s">
        <v>41</v>
      </c>
      <c r="C89" s="13">
        <v>43437</v>
      </c>
      <c r="D89" s="5">
        <v>40</v>
      </c>
      <c r="E89" s="6" t="s">
        <v>60</v>
      </c>
      <c r="F89" s="5" t="s">
        <v>67</v>
      </c>
      <c r="G89" s="6" t="s">
        <v>66</v>
      </c>
      <c r="H89" s="5" t="str">
        <f>"000113"</f>
        <v>000113</v>
      </c>
      <c r="I89" s="4">
        <v>43080</v>
      </c>
      <c r="J89" s="5" t="str">
        <f>"000100"</f>
        <v>000100</v>
      </c>
      <c r="K89" s="4">
        <v>43178</v>
      </c>
      <c r="L89" s="5" t="str">
        <f>"000424"</f>
        <v>000424</v>
      </c>
      <c r="M89" s="4">
        <v>43179</v>
      </c>
      <c r="N89" s="5">
        <v>18</v>
      </c>
      <c r="O89" s="5" t="str">
        <f>"007631"</f>
        <v>007631</v>
      </c>
      <c r="P89" s="4">
        <v>43432</v>
      </c>
      <c r="Q89" s="7">
        <v>109.77625</v>
      </c>
      <c r="R89" s="7">
        <v>6.6963699999999999</v>
      </c>
      <c r="S89" s="7">
        <v>103.07988</v>
      </c>
      <c r="T89" s="5">
        <v>280</v>
      </c>
      <c r="U89" s="4">
        <v>43437</v>
      </c>
      <c r="V89" s="5">
        <v>9886073963</v>
      </c>
      <c r="W89" s="6" t="s">
        <v>63</v>
      </c>
      <c r="X89" s="5" t="s">
        <v>54</v>
      </c>
      <c r="Y89" s="6" t="s">
        <v>53</v>
      </c>
      <c r="Z89" s="5" t="s">
        <v>56</v>
      </c>
      <c r="AA89" s="6" t="s">
        <v>55</v>
      </c>
      <c r="AB89" s="7">
        <f>Q89/100</f>
        <v>1.0977625</v>
      </c>
      <c r="AD89" s="8"/>
      <c r="AF89" s="8"/>
      <c r="AG89" s="8"/>
    </row>
    <row r="90" spans="1:33" x14ac:dyDescent="0.2">
      <c r="A90" s="12">
        <v>7492</v>
      </c>
      <c r="B90" s="13" t="s">
        <v>41</v>
      </c>
      <c r="C90" s="13">
        <v>43437</v>
      </c>
      <c r="D90" s="5">
        <v>40</v>
      </c>
      <c r="E90" s="6" t="s">
        <v>60</v>
      </c>
      <c r="F90" s="5" t="s">
        <v>65</v>
      </c>
      <c r="G90" s="6" t="s">
        <v>64</v>
      </c>
      <c r="H90" s="5" t="str">
        <f>"000114"</f>
        <v>000114</v>
      </c>
      <c r="I90" s="4">
        <v>43080</v>
      </c>
      <c r="J90" s="5" t="str">
        <f>"000099"</f>
        <v>000099</v>
      </c>
      <c r="K90" s="4">
        <v>43178</v>
      </c>
      <c r="L90" s="5" t="str">
        <f>"000428"</f>
        <v>000428</v>
      </c>
      <c r="M90" s="4">
        <v>43179</v>
      </c>
      <c r="N90" s="5">
        <v>18</v>
      </c>
      <c r="O90" s="5" t="str">
        <f>"007635"</f>
        <v>007635</v>
      </c>
      <c r="P90" s="4">
        <v>43432</v>
      </c>
      <c r="Q90" s="7">
        <v>109.77943999999999</v>
      </c>
      <c r="R90" s="7">
        <v>6.6965399999999997</v>
      </c>
      <c r="S90" s="7">
        <v>103.0829</v>
      </c>
      <c r="T90" s="5">
        <v>280</v>
      </c>
      <c r="U90" s="4">
        <v>43437</v>
      </c>
      <c r="V90" s="5">
        <v>9886073963</v>
      </c>
      <c r="W90" s="6" t="s">
        <v>63</v>
      </c>
      <c r="X90" s="5" t="s">
        <v>62</v>
      </c>
      <c r="Y90" s="6" t="s">
        <v>61</v>
      </c>
      <c r="Z90" s="5" t="s">
        <v>56</v>
      </c>
      <c r="AA90" s="6" t="s">
        <v>55</v>
      </c>
      <c r="AB90" s="7">
        <f>Q90/100</f>
        <v>1.0977943999999999</v>
      </c>
      <c r="AD90" s="8"/>
      <c r="AF90" s="8"/>
      <c r="AG90" s="8"/>
    </row>
    <row r="91" spans="1:33" x14ac:dyDescent="0.2">
      <c r="A91" s="12">
        <v>7900</v>
      </c>
      <c r="B91" s="13" t="s">
        <v>41</v>
      </c>
      <c r="C91" s="13">
        <v>43454</v>
      </c>
      <c r="D91" s="5">
        <v>40</v>
      </c>
      <c r="E91" s="6" t="s">
        <v>60</v>
      </c>
      <c r="F91" s="5" t="s">
        <v>59</v>
      </c>
      <c r="G91" s="6" t="s">
        <v>58</v>
      </c>
      <c r="H91" s="5" t="str">
        <f>"000185"</f>
        <v>000185</v>
      </c>
      <c r="I91" s="4">
        <v>43116</v>
      </c>
      <c r="J91" s="5" t="str">
        <f>"000111"</f>
        <v>000111</v>
      </c>
      <c r="K91" s="4">
        <v>43180</v>
      </c>
      <c r="L91" s="5" t="str">
        <f>"000435"</f>
        <v>000435</v>
      </c>
      <c r="M91" s="4">
        <v>43187</v>
      </c>
      <c r="N91" s="5">
        <v>18</v>
      </c>
      <c r="O91" s="5" t="str">
        <f>"007992"</f>
        <v>007992</v>
      </c>
      <c r="P91" s="4">
        <v>43448</v>
      </c>
      <c r="Q91" s="7">
        <v>103.23477</v>
      </c>
      <c r="R91" s="7">
        <v>3.2002899999999999</v>
      </c>
      <c r="S91" s="7">
        <v>100.03448</v>
      </c>
      <c r="T91" s="5">
        <v>298</v>
      </c>
      <c r="U91" s="4">
        <v>43454</v>
      </c>
      <c r="V91" s="5">
        <v>9448709328</v>
      </c>
      <c r="W91" s="6" t="s">
        <v>57</v>
      </c>
      <c r="X91" s="5" t="s">
        <v>54</v>
      </c>
      <c r="Y91" s="6" t="s">
        <v>53</v>
      </c>
      <c r="Z91" s="5" t="s">
        <v>56</v>
      </c>
      <c r="AA91" s="6" t="s">
        <v>55</v>
      </c>
      <c r="AB91" s="7">
        <f>Q91/100</f>
        <v>1.0323476999999999</v>
      </c>
      <c r="AD91" s="8"/>
      <c r="AF91" s="8"/>
      <c r="AG91"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2019-01-14T13:48:51Z</dcterms:modified>
</cp:coreProperties>
</file>