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4" i="1" l="1"/>
  <c r="O34" i="1"/>
  <c r="L34" i="1"/>
  <c r="J34" i="1"/>
  <c r="H34" i="1"/>
  <c r="AB33" i="1"/>
  <c r="O33" i="1"/>
  <c r="L33" i="1"/>
  <c r="J33" i="1"/>
  <c r="H33" i="1"/>
  <c r="AB32" i="1"/>
  <c r="O32" i="1"/>
  <c r="L32" i="1"/>
  <c r="J32" i="1"/>
  <c r="H32" i="1"/>
  <c r="AB31" i="1"/>
  <c r="O31" i="1"/>
  <c r="L31" i="1"/>
  <c r="J31" i="1"/>
  <c r="H31" i="1"/>
  <c r="AB30" i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<sst xmlns="http://schemas.openxmlformats.org/spreadsheetml/2006/main" count="325" uniqueCount="140">
  <si>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</si>
  <si>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</si>
  <si>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</si>
  <si>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</si>
  <si>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</si>
  <si>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</si>
  <si>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</si>
  <si>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</si>
  <si>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</si>
  <si>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</si>
  <si>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</si>
  <si>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</si>
  <si>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</si>
  <si>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</si>
  <si>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</si>
  <si>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</si>
  <si>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</si>
  <si>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</si>
  <si>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</si>
  <si>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</si>
  <si>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</si>
  <si>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</si>
  <si>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</si>
  <si>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</si>
  <si>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</si>
  <si>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</si>
  <si>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</si>
  <si>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</si>
  <si>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P3158</t>
  </si>
  <si>
    <t>SIP Infrastructure Project works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</si>
  <si>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</si>
  <si>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</si>
  <si>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</si>
  <si>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</si>
  <si>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</si>
  <si>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</si>
  <si>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</si>
  <si>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May</t>
  </si>
  <si>
    <t>September</t>
  </si>
  <si>
    <t>P3110</t>
  </si>
  <si>
    <t>14th Finance Commission Grant Works</t>
  </si>
  <si>
    <t>November</t>
  </si>
  <si>
    <t>December</t>
  </si>
  <si>
    <t>October</t>
  </si>
  <si>
    <t>April</t>
  </si>
  <si>
    <t xml:space="preserve"> Assistant Executive Engineer Electrical Dasarahalli Zone</t>
  </si>
  <si>
    <t>ddo466</t>
  </si>
  <si>
    <t xml:space="preserve"> Assistant Executive Engineer Peenya Industrial Area Dasarahalli Zone</t>
  </si>
  <si>
    <t>ddo463</t>
  </si>
  <si>
    <t>KRIDL</t>
  </si>
  <si>
    <t>Works sanctioned by Hon Mayor</t>
  </si>
  <si>
    <t>P0190</t>
  </si>
  <si>
    <t>Reserve fund for TandF Committee</t>
  </si>
  <si>
    <t>P2415</t>
  </si>
  <si>
    <t>14th Finance Commission Works - Road and Footpath Maintenance</t>
  </si>
  <si>
    <t>P3296</t>
  </si>
  <si>
    <t>14th Finance Commission Works - UGD Works</t>
  </si>
  <si>
    <t>P3295</t>
  </si>
  <si>
    <t>14th Finance Commission Works - Drinking Water</t>
  </si>
  <si>
    <t>P3293</t>
  </si>
  <si>
    <t>14th Finance Commission Works - Community Property Maintenance (including Parks)</t>
  </si>
  <si>
    <t>P3292</t>
  </si>
  <si>
    <t>14th Finance Commission Grants - SWD Works</t>
  </si>
  <si>
    <t>P3297</t>
  </si>
  <si>
    <t>Peenya Industrial Area</t>
  </si>
  <si>
    <t>041-15-000008</t>
  </si>
  <si>
    <t>Improvements to drain by providing flagging course and Covering slab to cross roads of Shivapura in ward no. 41</t>
  </si>
  <si>
    <t>MOHAN KUMAR. B</t>
  </si>
  <si>
    <t>041-16-000008</t>
  </si>
  <si>
    <t>Repairs of Culverts, drains and footpath in ward no. 41 Peenya Industrial Area</t>
  </si>
  <si>
    <t>Mahendra Engg works</t>
  </si>
  <si>
    <t>041-17-000043</t>
  </si>
  <si>
    <t>Providing CC Camera at Garbage Block Spots in ward no 41</t>
  </si>
  <si>
    <t>Jagaish K</t>
  </si>
  <si>
    <t>041-16-000012</t>
  </si>
  <si>
    <t>Improvements to Road Drain and culverts in Rajgopalnagara 11th cross Ganapathinagara and MEI colony 1st cross road at Peenya Industrial area in ward no 41</t>
  </si>
  <si>
    <t>041-16-000010</t>
  </si>
  <si>
    <t>Improvements to Road Drain and culverts in Rajarajeshwarinagara 3rd 4th 5th 6th 7th 8th 9th and 10th cross at Peenya Industrial area in ward no 41</t>
  </si>
  <si>
    <t>041-15-000007</t>
  </si>
  <si>
    <t>Improvements to drain by providing flagging course and Asphalting to Rajani form cross roads in Rajeshwarinagara ward no. 41</t>
  </si>
  <si>
    <t>041-16-000011</t>
  </si>
  <si>
    <t>Improvements to Road Drain and culverts in Chamundipura and Basaveshwara badavane at Peenya Industrial area in ward no 41</t>
  </si>
  <si>
    <t>041-13-000034</t>
  </si>
  <si>
    <t>Asphalting to Shivapura Main road in Ward no. 41 PIA sub division.</t>
  </si>
  <si>
    <t>B T RAVIKUMAR</t>
  </si>
  <si>
    <t>041-16-000027</t>
  </si>
  <si>
    <t>Development and Improvements to Roads and drain in ward. No.41 Peenya Industrial area surroundings.</t>
  </si>
  <si>
    <t>041-15-000005</t>
  </si>
  <si>
    <t>Improvements to drain and Asphalting to cross roads of Ganapathinagara and Gangadhareshwara Badavane in ward no. 41</t>
  </si>
  <si>
    <t>ddo023</t>
  </si>
  <si>
    <t xml:space="preserve"> Assistant Executive Engineer Dasarahalli SubDiv</t>
  </si>
  <si>
    <t>041-15-000002</t>
  </si>
  <si>
    <t>Asphalting to main and cross roads of Gruhalakshmi Badavane in ward no. 41</t>
  </si>
  <si>
    <t>041-15-000006</t>
  </si>
  <si>
    <t>Improvements to drain and Asphalting to cross roads of Iyengar Badavane in ward no. 41</t>
  </si>
  <si>
    <t>314-12-000090</t>
  </si>
  <si>
    <t>Annual Street light maintenance at ward no 41 Package-D6</t>
  </si>
  <si>
    <t>M/s Manoj Enterprises</t>
  </si>
  <si>
    <t>041-13-000007</t>
  </si>
  <si>
    <t>Improvements to Internal roads of Rajeshwari Nagara in ward no 41</t>
  </si>
  <si>
    <t>P2201</t>
  </si>
  <si>
    <t>Assembly Constituency Development Works under BBMP</t>
  </si>
  <si>
    <t>304-18-000017</t>
  </si>
  <si>
    <t xml:space="preserve">Improvements and developments of Nelagadharanahalli main roads in Peenya Industrial area in ward no.41, Dasarahalli zone </t>
  </si>
  <si>
    <t>ddo663</t>
  </si>
  <si>
    <t xml:space="preserve"> Executive Engineer Road Infrastructure Dasarahalli Division Central Zone</t>
  </si>
  <si>
    <t>304-18-000015</t>
  </si>
  <si>
    <t xml:space="preserve">Improvements and developments main roads and cross roads in Duggalammabadavane in ward no.41, Dasarahalli Zone. </t>
  </si>
  <si>
    <t>304-18-000016</t>
  </si>
  <si>
    <t xml:space="preserve">Improvements and developments of roads and footpath from NTTF circle to Ambedkar Colony, Shivapura colony in Peenya Industrial area in ward no.41, Dasarahalli Zone. </t>
  </si>
  <si>
    <t>304-18-000062</t>
  </si>
  <si>
    <t>Improvements and development of cross roads Gruhalakshmi Badavane  in ward no 41</t>
  </si>
  <si>
    <t xml:space="preserve">KRIDL-West </t>
  </si>
  <si>
    <t>304-18-000051</t>
  </si>
  <si>
    <t>Improvements and development of  KIADM cross roads near Andhrahalli main road in  ward No.41 sub division.</t>
  </si>
  <si>
    <t>M/s Technical Manager-West</t>
  </si>
  <si>
    <t>304-18-000066</t>
  </si>
  <si>
    <t>Improvements and developments of Rajani Rarm main to Rajagopalanagara to Laggere main roads in ward No.41</t>
  </si>
  <si>
    <t>304-18-000054</t>
  </si>
  <si>
    <t>Consultancy Services for Preparation of  Detailed Project Report for the work of Improvement of 8 no of roads and drains in ward no- 41, of  Dasarahalli Zone</t>
  </si>
  <si>
    <t>304-18-000064</t>
  </si>
  <si>
    <t>Improvements and developments main roads and cross roads in Rajagopalanagar main road and Eastren side of Rajagopalanagar  in ward no 41</t>
  </si>
  <si>
    <t>041-15-000004</t>
  </si>
  <si>
    <t>Improvements to drain and Asphalting to cross roads  Westren side of Rajgopalonagara main road in ward no. 41</t>
  </si>
  <si>
    <t>041-18-000028</t>
  </si>
  <si>
    <t>Maintenance of UGD works in ward no 41</t>
  </si>
  <si>
    <t>041-18-000025</t>
  </si>
  <si>
    <t>Maintenance of road and footpath in MEC layout in ward no 41</t>
  </si>
  <si>
    <t>041-18-000027</t>
  </si>
  <si>
    <t>Maintenance of park in ward no 41</t>
  </si>
  <si>
    <t>041-18-000031</t>
  </si>
  <si>
    <t>Providing drinking water supply in ward no 41</t>
  </si>
  <si>
    <t>041-18-000023</t>
  </si>
  <si>
    <t>Maintenance of Storm Water drain in ward no 41</t>
  </si>
  <si>
    <t>041-17-000029</t>
  </si>
  <si>
    <t>Repair of Culverts drain and footpath in ward no 41  PIA Sub division</t>
  </si>
  <si>
    <t>DV KUMAR</t>
  </si>
  <si>
    <t>041-16-000005</t>
  </si>
  <si>
    <t>Providing flaging Coarse, Covering Slab and Asphalting to Shivapura and NelagadaranahalliCross roads in ward no. 41</t>
  </si>
  <si>
    <t>MUNIRAJU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</si>
</sst>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4"/>
  <sheetViews>
    <sheetView tabSelected="1" workbookViewId="0">
      <selection activeCell="A2" sqref="A2:XFD34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356</v>
      </c>
      <c r="B2" s="13" t="s">
        <v>44</v>
      </c>
      <c r="C2" s="13">
        <v>43200</v>
      </c>
      <c r="D2" s="5">
        <v>41</v>
      </c>
      <c r="E2" s="6" t="s">
        <v>64</v>
      </c>
      <c r="F2" s="5" t="s">
        <v>65</v>
      </c>
      <c r="G2" s="6" t="s">
        <v>66</v>
      </c>
      <c r="H2" s="5" t="str">
        <f>"000411"</f>
        <v>000411</v>
      </c>
      <c r="I2" s="4">
        <v>42094</v>
      </c>
      <c r="J2" s="5" t="str">
        <f>"000022"</f>
        <v>000022</v>
      </c>
      <c r="K2" s="4">
        <v>42559</v>
      </c>
      <c r="L2" s="5" t="str">
        <f>"000285"</f>
        <v>000285</v>
      </c>
      <c r="M2" s="4">
        <v>42559</v>
      </c>
      <c r="N2" s="5">
        <v>15</v>
      </c>
      <c r="O2" s="5" t="str">
        <f>"011037"</f>
        <v>011037</v>
      </c>
      <c r="P2" s="4">
        <v>43187</v>
      </c>
      <c r="Q2" s="7">
        <v>23.80864</v>
      </c>
      <c r="R2" s="7">
        <v>1.71594</v>
      </c>
      <c r="S2" s="7">
        <v>22.092700000000001</v>
      </c>
      <c r="T2" s="5">
        <v>9</v>
      </c>
      <c r="U2" s="4">
        <v>43200</v>
      </c>
      <c r="V2" s="5">
        <v>9448881995</v>
      </c>
      <c r="W2" s="6" t="s">
        <v>67</v>
      </c>
      <c r="X2" s="5" t="s">
        <v>31</v>
      </c>
      <c r="Y2" s="6" t="s">
        <v>32</v>
      </c>
      <c r="Z2" s="5" t="s">
        <v>48</v>
      </c>
      <c r="AA2" s="6" t="s">
        <v>47</v>
      </c>
      <c r="AB2" s="7">
        <v>0.2380864</v>
      </c>
      <c r="AD2" s="8"/>
      <c r="AF2" s="8"/>
      <c r="AG2" s="8"/>
    </row>
    <row r="3" spans="1:33" x14ac:dyDescent="0.2">
      <c r="A3" s="12">
        <v>606</v>
      </c>
      <c r="B3" s="13" t="s">
        <v>44</v>
      </c>
      <c r="C3" s="13">
        <v>43214</v>
      </c>
      <c r="D3" s="5">
        <v>41</v>
      </c>
      <c r="E3" s="6" t="s">
        <v>64</v>
      </c>
      <c r="F3" s="5" t="s">
        <v>68</v>
      </c>
      <c r="G3" s="6" t="s">
        <v>69</v>
      </c>
      <c r="H3" s="5" t="str">
        <f>"000036"</f>
        <v>000036</v>
      </c>
      <c r="I3" s="4">
        <v>42453</v>
      </c>
      <c r="J3" s="5" t="str">
        <f>"000016"</f>
        <v>000016</v>
      </c>
      <c r="K3" s="4">
        <v>42521</v>
      </c>
      <c r="L3" s="5" t="str">
        <f>"000112"</f>
        <v>000112</v>
      </c>
      <c r="M3" s="4">
        <v>42521</v>
      </c>
      <c r="N3" s="5">
        <v>16</v>
      </c>
      <c r="O3" s="5" t="str">
        <f>"000533"</f>
        <v>000533</v>
      </c>
      <c r="P3" s="4">
        <v>43203</v>
      </c>
      <c r="Q3" s="7">
        <v>8.9609500000000004</v>
      </c>
      <c r="R3" s="7">
        <v>0.63143000000000005</v>
      </c>
      <c r="S3" s="7">
        <v>8.3295200000000005</v>
      </c>
      <c r="T3" s="5">
        <v>23</v>
      </c>
      <c r="U3" s="4">
        <v>43214</v>
      </c>
      <c r="V3" s="5">
        <v>9035063712</v>
      </c>
      <c r="W3" s="6" t="s">
        <v>70</v>
      </c>
      <c r="X3" s="5" t="s">
        <v>31</v>
      </c>
      <c r="Y3" s="6" t="s">
        <v>32</v>
      </c>
      <c r="Z3" s="5" t="s">
        <v>48</v>
      </c>
      <c r="AA3" s="6" t="s">
        <v>47</v>
      </c>
      <c r="AB3" s="7">
        <v>8.9609500000000009E-2</v>
      </c>
      <c r="AD3" s="8"/>
      <c r="AF3" s="8"/>
      <c r="AG3" s="8"/>
    </row>
    <row r="4" spans="1:33" x14ac:dyDescent="0.2">
      <c r="A4" s="12">
        <v>1296</v>
      </c>
      <c r="B4" s="13" t="s">
        <v>37</v>
      </c>
      <c r="C4" s="13">
        <v>43241</v>
      </c>
      <c r="D4" s="5">
        <v>41</v>
      </c>
      <c r="E4" s="6" t="s">
        <v>64</v>
      </c>
      <c r="F4" s="5" t="s">
        <v>71</v>
      </c>
      <c r="G4" s="6" t="s">
        <v>72</v>
      </c>
      <c r="H4" s="5" t="str">
        <f>"000110"</f>
        <v>000110</v>
      </c>
      <c r="I4" s="4">
        <v>43077</v>
      </c>
      <c r="J4" s="5" t="str">
        <f>"000001"</f>
        <v>000001</v>
      </c>
      <c r="K4" s="4">
        <v>43201</v>
      </c>
      <c r="L4" s="5" t="str">
        <f>"000010"</f>
        <v>000010</v>
      </c>
      <c r="M4" s="4">
        <v>43201</v>
      </c>
      <c r="N4" s="5">
        <v>17</v>
      </c>
      <c r="O4" s="5" t="str">
        <f>"001602"</f>
        <v>001602</v>
      </c>
      <c r="P4" s="4">
        <v>43239</v>
      </c>
      <c r="Q4" s="7">
        <v>9.8927399999999999</v>
      </c>
      <c r="R4" s="7">
        <v>0.21625</v>
      </c>
      <c r="S4" s="7">
        <v>9.6764899999999994</v>
      </c>
      <c r="T4" s="5">
        <v>56</v>
      </c>
      <c r="U4" s="4">
        <v>43241</v>
      </c>
      <c r="V4" s="5">
        <v>9900175940</v>
      </c>
      <c r="W4" s="6" t="s">
        <v>73</v>
      </c>
      <c r="X4" s="5" t="s">
        <v>39</v>
      </c>
      <c r="Y4" s="6" t="s">
        <v>40</v>
      </c>
      <c r="Z4" s="5" t="s">
        <v>48</v>
      </c>
      <c r="AA4" s="6" t="s">
        <v>47</v>
      </c>
      <c r="AB4" s="7">
        <v>9.8927399999999999E-2</v>
      </c>
      <c r="AD4" s="8"/>
      <c r="AF4" s="8"/>
      <c r="AG4" s="8"/>
    </row>
    <row r="5" spans="1:33" x14ac:dyDescent="0.2">
      <c r="A5" s="12">
        <v>2506</v>
      </c>
      <c r="B5" s="13" t="s">
        <v>36</v>
      </c>
      <c r="C5" s="13">
        <v>43274</v>
      </c>
      <c r="D5" s="5">
        <v>41</v>
      </c>
      <c r="E5" s="6" t="s">
        <v>64</v>
      </c>
      <c r="F5" s="5" t="s">
        <v>74</v>
      </c>
      <c r="G5" s="6" t="s">
        <v>75</v>
      </c>
      <c r="H5" s="5" t="str">
        <f>"000052"</f>
        <v>000052</v>
      </c>
      <c r="I5" s="4">
        <v>42608</v>
      </c>
      <c r="J5" s="5" t="str">
        <f>"000092"</f>
        <v>000092</v>
      </c>
      <c r="K5" s="4">
        <v>42665</v>
      </c>
      <c r="L5" s="5" t="str">
        <f>"000466"</f>
        <v>000466</v>
      </c>
      <c r="M5" s="4">
        <v>42669</v>
      </c>
      <c r="N5" s="5">
        <v>16</v>
      </c>
      <c r="O5" s="5" t="str">
        <f>"002763"</f>
        <v>002763</v>
      </c>
      <c r="P5" s="4">
        <v>43271</v>
      </c>
      <c r="Q5" s="7">
        <v>49.125039999999998</v>
      </c>
      <c r="R5" s="7">
        <v>6.4197600000000001</v>
      </c>
      <c r="S5" s="7">
        <v>42.705280000000002</v>
      </c>
      <c r="T5" s="5">
        <v>99</v>
      </c>
      <c r="U5" s="4">
        <v>43274</v>
      </c>
      <c r="V5" s="5">
        <v>9889219009</v>
      </c>
      <c r="W5" s="6" t="s">
        <v>49</v>
      </c>
      <c r="X5" s="5" t="s">
        <v>53</v>
      </c>
      <c r="Y5" s="6" t="s">
        <v>52</v>
      </c>
      <c r="Z5" s="5" t="s">
        <v>48</v>
      </c>
      <c r="AA5" s="6" t="s">
        <v>47</v>
      </c>
      <c r="AB5" s="7">
        <v>0.49125039999999998</v>
      </c>
      <c r="AD5" s="8"/>
      <c r="AF5" s="8"/>
      <c r="AG5" s="8"/>
    </row>
    <row r="6" spans="1:33" x14ac:dyDescent="0.2">
      <c r="A6" s="12">
        <v>2507</v>
      </c>
      <c r="B6" s="13" t="s">
        <v>36</v>
      </c>
      <c r="C6" s="13">
        <v>43274</v>
      </c>
      <c r="D6" s="5">
        <v>41</v>
      </c>
      <c r="E6" s="6" t="s">
        <v>64</v>
      </c>
      <c r="F6" s="5" t="s">
        <v>76</v>
      </c>
      <c r="G6" s="6" t="s">
        <v>77</v>
      </c>
      <c r="H6" s="5" t="str">
        <f>"000053"</f>
        <v>000053</v>
      </c>
      <c r="I6" s="4">
        <v>42608</v>
      </c>
      <c r="J6" s="5" t="str">
        <f>"000090"</f>
        <v>000090</v>
      </c>
      <c r="K6" s="4">
        <v>42665</v>
      </c>
      <c r="L6" s="5" t="str">
        <f>"000467"</f>
        <v>000467</v>
      </c>
      <c r="M6" s="4">
        <v>42669</v>
      </c>
      <c r="N6" s="5">
        <v>16</v>
      </c>
      <c r="O6" s="5" t="str">
        <f>"002764"</f>
        <v>002764</v>
      </c>
      <c r="P6" s="4">
        <v>43271</v>
      </c>
      <c r="Q6" s="7">
        <v>49.619500000000002</v>
      </c>
      <c r="R6" s="7">
        <v>6.4795999999999996</v>
      </c>
      <c r="S6" s="7">
        <v>43.139899999999997</v>
      </c>
      <c r="T6" s="5">
        <v>99</v>
      </c>
      <c r="U6" s="4">
        <v>43274</v>
      </c>
      <c r="V6" s="5">
        <v>9889219009</v>
      </c>
      <c r="W6" s="6" t="s">
        <v>49</v>
      </c>
      <c r="X6" s="5" t="s">
        <v>53</v>
      </c>
      <c r="Y6" s="6" t="s">
        <v>52</v>
      </c>
      <c r="Z6" s="5" t="s">
        <v>48</v>
      </c>
      <c r="AA6" s="6" t="s">
        <v>47</v>
      </c>
      <c r="AB6" s="7">
        <v>0.496195</v>
      </c>
      <c r="AD6" s="8"/>
      <c r="AF6" s="8"/>
      <c r="AG6" s="8"/>
    </row>
    <row r="7" spans="1:33" x14ac:dyDescent="0.2">
      <c r="A7" s="12">
        <v>2508</v>
      </c>
      <c r="B7" s="13" t="s">
        <v>36</v>
      </c>
      <c r="C7" s="13">
        <v>43274</v>
      </c>
      <c r="D7" s="5">
        <v>41</v>
      </c>
      <c r="E7" s="6" t="s">
        <v>64</v>
      </c>
      <c r="F7" s="5" t="s">
        <v>78</v>
      </c>
      <c r="G7" s="6" t="s">
        <v>79</v>
      </c>
      <c r="H7" s="5" t="str">
        <f>"000069"</f>
        <v>000069</v>
      </c>
      <c r="I7" s="4">
        <v>42629</v>
      </c>
      <c r="J7" s="5" t="str">
        <f>"000089"</f>
        <v>000089</v>
      </c>
      <c r="K7" s="4">
        <v>42665</v>
      </c>
      <c r="L7" s="5" t="str">
        <f>"000468"</f>
        <v>000468</v>
      </c>
      <c r="M7" s="4">
        <v>42669</v>
      </c>
      <c r="N7" s="5">
        <v>15</v>
      </c>
      <c r="O7" s="5" t="str">
        <f>"002765"</f>
        <v>002765</v>
      </c>
      <c r="P7" s="4">
        <v>43271</v>
      </c>
      <c r="Q7" s="7">
        <v>49.551729999999999</v>
      </c>
      <c r="R7" s="7">
        <v>6.4813900000000002</v>
      </c>
      <c r="S7" s="7">
        <v>43.070340000000002</v>
      </c>
      <c r="T7" s="5">
        <v>99</v>
      </c>
      <c r="U7" s="4">
        <v>43274</v>
      </c>
      <c r="V7" s="5">
        <v>9889219009</v>
      </c>
      <c r="W7" s="6" t="s">
        <v>49</v>
      </c>
      <c r="X7" s="5" t="s">
        <v>31</v>
      </c>
      <c r="Y7" s="6" t="s">
        <v>32</v>
      </c>
      <c r="Z7" s="5" t="s">
        <v>48</v>
      </c>
      <c r="AA7" s="6" t="s">
        <v>47</v>
      </c>
      <c r="AB7" s="7">
        <v>0.49551729999999999</v>
      </c>
      <c r="AD7" s="8"/>
      <c r="AF7" s="8"/>
      <c r="AG7" s="8"/>
    </row>
    <row r="8" spans="1:33" x14ac:dyDescent="0.2">
      <c r="A8" s="12">
        <v>2509</v>
      </c>
      <c r="B8" s="13" t="s">
        <v>36</v>
      </c>
      <c r="C8" s="13">
        <v>43274</v>
      </c>
      <c r="D8" s="5">
        <v>41</v>
      </c>
      <c r="E8" s="6" t="s">
        <v>64</v>
      </c>
      <c r="F8" s="5" t="s">
        <v>80</v>
      </c>
      <c r="G8" s="6" t="s">
        <v>81</v>
      </c>
      <c r="H8" s="5" t="str">
        <f>"000051"</f>
        <v>000051</v>
      </c>
      <c r="I8" s="4">
        <v>42608</v>
      </c>
      <c r="J8" s="5" t="str">
        <f>"000091"</f>
        <v>000091</v>
      </c>
      <c r="K8" s="4">
        <v>42665</v>
      </c>
      <c r="L8" s="5" t="str">
        <f>"000469"</f>
        <v>000469</v>
      </c>
      <c r="M8" s="4">
        <v>42669</v>
      </c>
      <c r="N8" s="5">
        <v>16</v>
      </c>
      <c r="O8" s="5" t="str">
        <f>"002766"</f>
        <v>002766</v>
      </c>
      <c r="P8" s="4">
        <v>43271</v>
      </c>
      <c r="Q8" s="7">
        <v>49.518810000000002</v>
      </c>
      <c r="R8" s="7">
        <v>6.4674100000000001</v>
      </c>
      <c r="S8" s="7">
        <v>43.051400000000001</v>
      </c>
      <c r="T8" s="5">
        <v>99</v>
      </c>
      <c r="U8" s="4">
        <v>43274</v>
      </c>
      <c r="V8" s="5">
        <v>9889219009</v>
      </c>
      <c r="W8" s="6" t="s">
        <v>49</v>
      </c>
      <c r="X8" s="5" t="s">
        <v>53</v>
      </c>
      <c r="Y8" s="6" t="s">
        <v>52</v>
      </c>
      <c r="Z8" s="5" t="s">
        <v>48</v>
      </c>
      <c r="AA8" s="6" t="s">
        <v>47</v>
      </c>
      <c r="AB8" s="7">
        <v>0.49518810000000002</v>
      </c>
      <c r="AD8" s="8"/>
      <c r="AF8" s="8"/>
      <c r="AG8" s="8"/>
    </row>
    <row r="9" spans="1:33" x14ac:dyDescent="0.2">
      <c r="A9" s="12">
        <v>3146</v>
      </c>
      <c r="B9" s="13" t="s">
        <v>33</v>
      </c>
      <c r="C9" s="13">
        <v>43290</v>
      </c>
      <c r="D9" s="5">
        <v>41</v>
      </c>
      <c r="E9" s="6" t="s">
        <v>64</v>
      </c>
      <c r="F9" s="5" t="s">
        <v>82</v>
      </c>
      <c r="G9" s="6" t="s">
        <v>83</v>
      </c>
      <c r="H9" s="5" t="str">
        <f>"00O135"</f>
        <v>00O135</v>
      </c>
      <c r="I9" s="4">
        <v>41835</v>
      </c>
      <c r="J9" s="5" t="str">
        <f>"000115"</f>
        <v>000115</v>
      </c>
      <c r="K9" s="4">
        <v>42724</v>
      </c>
      <c r="L9" s="5" t="str">
        <f>"000541"</f>
        <v>000541</v>
      </c>
      <c r="M9" s="4">
        <v>42733</v>
      </c>
      <c r="N9" s="5">
        <v>13</v>
      </c>
      <c r="O9" s="5" t="str">
        <f>"003420"</f>
        <v>003420</v>
      </c>
      <c r="P9" s="4">
        <v>43288</v>
      </c>
      <c r="Q9" s="7">
        <v>23.572970000000002</v>
      </c>
      <c r="R9" s="7">
        <v>1.79044</v>
      </c>
      <c r="S9" s="7">
        <v>21.782530000000001</v>
      </c>
      <c r="T9" s="5">
        <v>117</v>
      </c>
      <c r="U9" s="4">
        <v>43290</v>
      </c>
      <c r="V9" s="5">
        <v>7353903103</v>
      </c>
      <c r="W9" s="6" t="s">
        <v>84</v>
      </c>
      <c r="X9" s="5" t="s">
        <v>31</v>
      </c>
      <c r="Y9" s="6" t="s">
        <v>32</v>
      </c>
      <c r="Z9" s="5" t="s">
        <v>48</v>
      </c>
      <c r="AA9" s="6" t="s">
        <v>47</v>
      </c>
      <c r="AB9" s="7">
        <v>0.23572970000000001</v>
      </c>
      <c r="AD9" s="8"/>
      <c r="AF9" s="8"/>
      <c r="AG9" s="8"/>
    </row>
    <row r="10" spans="1:33" x14ac:dyDescent="0.2">
      <c r="A10" s="12">
        <v>4270</v>
      </c>
      <c r="B10" s="13" t="s">
        <v>30</v>
      </c>
      <c r="C10" s="13">
        <v>43315</v>
      </c>
      <c r="D10" s="5">
        <v>41</v>
      </c>
      <c r="E10" s="6" t="s">
        <v>64</v>
      </c>
      <c r="F10" s="5" t="s">
        <v>85</v>
      </c>
      <c r="G10" s="6" t="s">
        <v>86</v>
      </c>
      <c r="H10" s="5" t="str">
        <f>"000100"</f>
        <v>000100</v>
      </c>
      <c r="I10" s="4">
        <v>42742</v>
      </c>
      <c r="J10" s="5" t="str">
        <f>"000128"</f>
        <v>000128</v>
      </c>
      <c r="K10" s="4">
        <v>42766</v>
      </c>
      <c r="L10" s="5" t="str">
        <f>"000590"</f>
        <v>000590</v>
      </c>
      <c r="M10" s="4">
        <v>42766</v>
      </c>
      <c r="N10" s="5">
        <v>16</v>
      </c>
      <c r="O10" s="5" t="str">
        <f>"004534"</f>
        <v>004534</v>
      </c>
      <c r="P10" s="4">
        <v>43309</v>
      </c>
      <c r="Q10" s="7">
        <v>48.76238</v>
      </c>
      <c r="R10" s="7">
        <v>6.3983400000000001</v>
      </c>
      <c r="S10" s="7">
        <v>42.364040000000003</v>
      </c>
      <c r="T10" s="5">
        <v>152</v>
      </c>
      <c r="U10" s="4">
        <v>43315</v>
      </c>
      <c r="V10" s="5">
        <v>9889219009</v>
      </c>
      <c r="W10" s="6" t="s">
        <v>49</v>
      </c>
      <c r="X10" s="5" t="s">
        <v>51</v>
      </c>
      <c r="Y10" s="6" t="s">
        <v>50</v>
      </c>
      <c r="Z10" s="5" t="s">
        <v>48</v>
      </c>
      <c r="AA10" s="6" t="s">
        <v>47</v>
      </c>
      <c r="AB10" s="7">
        <v>0.4876238</v>
      </c>
      <c r="AD10" s="8"/>
      <c r="AF10" s="8"/>
      <c r="AG10" s="8"/>
    </row>
    <row r="11" spans="1:33" x14ac:dyDescent="0.2">
      <c r="A11" s="12">
        <v>4758</v>
      </c>
      <c r="B11" s="13" t="s">
        <v>30</v>
      </c>
      <c r="C11" s="13">
        <v>43326</v>
      </c>
      <c r="D11" s="5">
        <v>41</v>
      </c>
      <c r="E11" s="6" t="s">
        <v>64</v>
      </c>
      <c r="F11" s="5" t="s">
        <v>87</v>
      </c>
      <c r="G11" s="6" t="s">
        <v>88</v>
      </c>
      <c r="H11" s="5" t="str">
        <f>"000071"</f>
        <v>000071</v>
      </c>
      <c r="I11" s="4">
        <v>42629</v>
      </c>
      <c r="J11" s="5" t="str">
        <f>"000111"</f>
        <v>000111</v>
      </c>
      <c r="K11" s="4">
        <v>42674</v>
      </c>
      <c r="L11" s="5" t="str">
        <f>"000645"</f>
        <v>000645</v>
      </c>
      <c r="M11" s="4">
        <v>42808</v>
      </c>
      <c r="N11" s="5">
        <v>15</v>
      </c>
      <c r="O11" s="5" t="str">
        <f>"004938"</f>
        <v>004938</v>
      </c>
      <c r="P11" s="4">
        <v>43318</v>
      </c>
      <c r="Q11" s="7">
        <v>35</v>
      </c>
      <c r="R11" s="7">
        <v>4.7024999999999997</v>
      </c>
      <c r="S11" s="7">
        <v>30.297499999999999</v>
      </c>
      <c r="T11" s="5">
        <v>170</v>
      </c>
      <c r="U11" s="4">
        <v>43326</v>
      </c>
      <c r="V11" s="5">
        <v>9449219009</v>
      </c>
      <c r="W11" s="6" t="s">
        <v>49</v>
      </c>
      <c r="X11" s="5" t="s">
        <v>31</v>
      </c>
      <c r="Y11" s="6" t="s">
        <v>32</v>
      </c>
      <c r="Z11" s="5" t="s">
        <v>89</v>
      </c>
      <c r="AA11" s="6" t="s">
        <v>90</v>
      </c>
      <c r="AB11" s="7">
        <v>0.35</v>
      </c>
      <c r="AD11" s="8"/>
      <c r="AF11" s="8"/>
      <c r="AG11" s="8"/>
    </row>
    <row r="12" spans="1:33" x14ac:dyDescent="0.2">
      <c r="A12" s="12">
        <v>4759</v>
      </c>
      <c r="B12" s="13" t="s">
        <v>30</v>
      </c>
      <c r="C12" s="13">
        <v>43326</v>
      </c>
      <c r="D12" s="5">
        <v>41</v>
      </c>
      <c r="E12" s="6" t="s">
        <v>64</v>
      </c>
      <c r="F12" s="5" t="s">
        <v>91</v>
      </c>
      <c r="G12" s="6" t="s">
        <v>92</v>
      </c>
      <c r="H12" s="5" t="str">
        <f>"000070"</f>
        <v>000070</v>
      </c>
      <c r="I12" s="4">
        <v>42629</v>
      </c>
      <c r="J12" s="5" t="str">
        <f>"000113"</f>
        <v>000113</v>
      </c>
      <c r="K12" s="4">
        <v>42674</v>
      </c>
      <c r="L12" s="5" t="str">
        <f>"000647"</f>
        <v>000647</v>
      </c>
      <c r="M12" s="4">
        <v>42808</v>
      </c>
      <c r="N12" s="5">
        <v>15</v>
      </c>
      <c r="O12" s="5" t="str">
        <f>"004939"</f>
        <v>004939</v>
      </c>
      <c r="P12" s="4">
        <v>43318</v>
      </c>
      <c r="Q12" s="7">
        <v>50</v>
      </c>
      <c r="R12" s="7">
        <v>6.7302499999999998</v>
      </c>
      <c r="S12" s="7">
        <v>43.269750000000002</v>
      </c>
      <c r="T12" s="5">
        <v>170</v>
      </c>
      <c r="U12" s="4">
        <v>43326</v>
      </c>
      <c r="V12" s="5">
        <v>9449219009</v>
      </c>
      <c r="W12" s="6" t="s">
        <v>49</v>
      </c>
      <c r="X12" s="5" t="s">
        <v>31</v>
      </c>
      <c r="Y12" s="6" t="s">
        <v>32</v>
      </c>
      <c r="Z12" s="5" t="s">
        <v>89</v>
      </c>
      <c r="AA12" s="6" t="s">
        <v>90</v>
      </c>
      <c r="AB12" s="7">
        <v>0.5</v>
      </c>
      <c r="AD12" s="8"/>
      <c r="AF12" s="8"/>
      <c r="AG12" s="8"/>
    </row>
    <row r="13" spans="1:33" x14ac:dyDescent="0.2">
      <c r="A13" s="12">
        <v>4760</v>
      </c>
      <c r="B13" s="13" t="s">
        <v>30</v>
      </c>
      <c r="C13" s="13">
        <v>43326</v>
      </c>
      <c r="D13" s="5">
        <v>41</v>
      </c>
      <c r="E13" s="6" t="s">
        <v>64</v>
      </c>
      <c r="F13" s="5" t="s">
        <v>93</v>
      </c>
      <c r="G13" s="6" t="s">
        <v>94</v>
      </c>
      <c r="H13" s="5" t="str">
        <f>"000073"</f>
        <v>000073</v>
      </c>
      <c r="I13" s="4">
        <v>42630</v>
      </c>
      <c r="J13" s="5" t="str">
        <f>"000112"</f>
        <v>000112</v>
      </c>
      <c r="K13" s="4">
        <v>42674</v>
      </c>
      <c r="L13" s="5" t="str">
        <f>"000648"</f>
        <v>000648</v>
      </c>
      <c r="M13" s="4">
        <v>42808</v>
      </c>
      <c r="N13" s="5">
        <v>15</v>
      </c>
      <c r="O13" s="5" t="str">
        <f>"004940"</f>
        <v>004940</v>
      </c>
      <c r="P13" s="4">
        <v>43318</v>
      </c>
      <c r="Q13" s="7">
        <v>73.68947</v>
      </c>
      <c r="R13" s="7">
        <v>9.5725200000000008</v>
      </c>
      <c r="S13" s="7">
        <v>64.116950000000003</v>
      </c>
      <c r="T13" s="5">
        <v>170</v>
      </c>
      <c r="U13" s="4">
        <v>43326</v>
      </c>
      <c r="V13" s="5">
        <v>9449219002</v>
      </c>
      <c r="W13" s="6" t="s">
        <v>49</v>
      </c>
      <c r="X13" s="5" t="s">
        <v>31</v>
      </c>
      <c r="Y13" s="6" t="s">
        <v>32</v>
      </c>
      <c r="Z13" s="5" t="s">
        <v>48</v>
      </c>
      <c r="AA13" s="6" t="s">
        <v>47</v>
      </c>
      <c r="AB13" s="7">
        <v>0.73689470000000001</v>
      </c>
      <c r="AD13" s="8"/>
      <c r="AF13" s="8"/>
      <c r="AG13" s="8"/>
    </row>
    <row r="14" spans="1:33" x14ac:dyDescent="0.2">
      <c r="A14" s="12">
        <v>5083</v>
      </c>
      <c r="B14" s="13" t="s">
        <v>30</v>
      </c>
      <c r="C14" s="13">
        <v>43337</v>
      </c>
      <c r="D14" s="5">
        <v>41</v>
      </c>
      <c r="E14" s="6" t="s">
        <v>64</v>
      </c>
      <c r="F14" s="5" t="s">
        <v>95</v>
      </c>
      <c r="G14" s="6" t="s">
        <v>96</v>
      </c>
      <c r="H14" s="5" t="str">
        <f>"000003"</f>
        <v>000003</v>
      </c>
      <c r="I14" s="4">
        <v>42209</v>
      </c>
      <c r="J14" s="5" t="str">
        <f>"000012"</f>
        <v>000012</v>
      </c>
      <c r="K14" s="4">
        <v>42910</v>
      </c>
      <c r="L14" s="5" t="str">
        <f>"00013A"</f>
        <v>00013A</v>
      </c>
      <c r="M14" s="4">
        <v>42916</v>
      </c>
      <c r="N14" s="5">
        <v>12</v>
      </c>
      <c r="O14" s="5" t="str">
        <f>"005357"</f>
        <v>005357</v>
      </c>
      <c r="P14" s="4">
        <v>43335</v>
      </c>
      <c r="Q14" s="7">
        <v>6.4152899999999997</v>
      </c>
      <c r="R14" s="7">
        <v>0.99968999999999997</v>
      </c>
      <c r="S14" s="7">
        <v>5.4156000000000004</v>
      </c>
      <c r="T14" s="5">
        <v>180</v>
      </c>
      <c r="U14" s="4">
        <v>43337</v>
      </c>
      <c r="V14" s="5">
        <v>9986316782</v>
      </c>
      <c r="W14" s="6" t="s">
        <v>97</v>
      </c>
      <c r="X14" s="5" t="s">
        <v>34</v>
      </c>
      <c r="Y14" s="6" t="s">
        <v>35</v>
      </c>
      <c r="Z14" s="5" t="s">
        <v>46</v>
      </c>
      <c r="AA14" s="6" t="s">
        <v>45</v>
      </c>
      <c r="AB14" s="7">
        <v>6.4152899999999999E-2</v>
      </c>
      <c r="AD14" s="8"/>
      <c r="AF14" s="8"/>
      <c r="AG14" s="8"/>
    </row>
    <row r="15" spans="1:33" x14ac:dyDescent="0.2">
      <c r="A15" s="12">
        <v>5210</v>
      </c>
      <c r="B15" s="13" t="s">
        <v>38</v>
      </c>
      <c r="C15" s="13">
        <v>43346</v>
      </c>
      <c r="D15" s="5">
        <v>41</v>
      </c>
      <c r="E15" s="6" t="s">
        <v>64</v>
      </c>
      <c r="F15" s="5" t="s">
        <v>98</v>
      </c>
      <c r="G15" s="6" t="s">
        <v>99</v>
      </c>
      <c r="H15" s="5" t="str">
        <f>"000423"</f>
        <v>000423</v>
      </c>
      <c r="I15" s="4">
        <v>41341</v>
      </c>
      <c r="J15" s="5" t="str">
        <f>"000000"</f>
        <v>000000</v>
      </c>
      <c r="K15" s="4">
        <v>42824</v>
      </c>
      <c r="L15" s="5" t="str">
        <f>"000719"</f>
        <v>000719</v>
      </c>
      <c r="M15" s="4">
        <v>42825</v>
      </c>
      <c r="N15" s="5">
        <v>13</v>
      </c>
      <c r="O15" s="5" t="str">
        <f>"005561"</f>
        <v>005561</v>
      </c>
      <c r="P15" s="4">
        <v>43341</v>
      </c>
      <c r="Q15" s="7">
        <v>50</v>
      </c>
      <c r="R15" s="7">
        <v>6.7075800000000001</v>
      </c>
      <c r="S15" s="7">
        <v>43.29242</v>
      </c>
      <c r="T15" s="5">
        <v>193</v>
      </c>
      <c r="U15" s="4">
        <v>43346</v>
      </c>
      <c r="V15" s="5">
        <v>9449219009</v>
      </c>
      <c r="W15" s="6" t="s">
        <v>49</v>
      </c>
      <c r="X15" s="5" t="s">
        <v>100</v>
      </c>
      <c r="Y15" s="6" t="s">
        <v>101</v>
      </c>
      <c r="Z15" s="5" t="s">
        <v>48</v>
      </c>
      <c r="AA15" s="6" t="s">
        <v>47</v>
      </c>
      <c r="AB15" s="7">
        <f>Q15/100</f>
        <v>0.5</v>
      </c>
      <c r="AD15" s="8"/>
      <c r="AF15" s="8"/>
      <c r="AG15" s="8"/>
    </row>
    <row r="16" spans="1:33" x14ac:dyDescent="0.2">
      <c r="A16" s="12">
        <v>5987</v>
      </c>
      <c r="B16" s="13" t="s">
        <v>43</v>
      </c>
      <c r="C16" s="13">
        <v>43385</v>
      </c>
      <c r="D16" s="5">
        <v>41</v>
      </c>
      <c r="E16" s="6" t="s">
        <v>64</v>
      </c>
      <c r="F16" s="5" t="s">
        <v>102</v>
      </c>
      <c r="G16" s="6" t="s">
        <v>103</v>
      </c>
      <c r="H16" s="5" t="str">
        <f>"000009"</f>
        <v>000009</v>
      </c>
      <c r="I16" s="4">
        <v>43285</v>
      </c>
      <c r="J16" s="5" t="str">
        <f>"000010"</f>
        <v>000010</v>
      </c>
      <c r="K16" s="4">
        <v>43285</v>
      </c>
      <c r="L16" s="5" t="str">
        <f>"000010"</f>
        <v>000010</v>
      </c>
      <c r="M16" s="4">
        <v>43286</v>
      </c>
      <c r="N16" s="5">
        <v>18</v>
      </c>
      <c r="O16" s="5" t="str">
        <f>"006240"</f>
        <v>006240</v>
      </c>
      <c r="P16" s="4">
        <v>43380</v>
      </c>
      <c r="Q16" s="7">
        <v>55.142510000000001</v>
      </c>
      <c r="R16" s="7">
        <v>6.7410100000000002</v>
      </c>
      <c r="S16" s="7">
        <v>48.401499999999999</v>
      </c>
      <c r="T16" s="5">
        <v>228</v>
      </c>
      <c r="U16" s="4">
        <v>43385</v>
      </c>
      <c r="V16" s="5">
        <v>9964929025</v>
      </c>
      <c r="W16" s="6" t="s">
        <v>49</v>
      </c>
      <c r="X16" s="5" t="s">
        <v>28</v>
      </c>
      <c r="Y16" s="6" t="s">
        <v>29</v>
      </c>
      <c r="Z16" s="5" t="s">
        <v>104</v>
      </c>
      <c r="AA16" s="6" t="s">
        <v>105</v>
      </c>
      <c r="AB16" s="7">
        <f>Q16/100</f>
        <v>0.5514251</v>
      </c>
      <c r="AD16" s="8"/>
      <c r="AF16" s="8"/>
      <c r="AG16" s="8"/>
    </row>
    <row r="17" spans="1:33" x14ac:dyDescent="0.2">
      <c r="A17" s="12">
        <v>5988</v>
      </c>
      <c r="B17" s="13" t="s">
        <v>43</v>
      </c>
      <c r="C17" s="13">
        <v>43385</v>
      </c>
      <c r="D17" s="5">
        <v>41</v>
      </c>
      <c r="E17" s="6" t="s">
        <v>64</v>
      </c>
      <c r="F17" s="5" t="s">
        <v>106</v>
      </c>
      <c r="G17" s="6" t="s">
        <v>107</v>
      </c>
      <c r="H17" s="5" t="str">
        <f>"000007"</f>
        <v>000007</v>
      </c>
      <c r="I17" s="4">
        <v>43285</v>
      </c>
      <c r="J17" s="5" t="str">
        <f>"000008"</f>
        <v>000008</v>
      </c>
      <c r="K17" s="4">
        <v>43285</v>
      </c>
      <c r="L17" s="5" t="str">
        <f>"000011"</f>
        <v>000011</v>
      </c>
      <c r="M17" s="4">
        <v>43286</v>
      </c>
      <c r="N17" s="5">
        <v>18</v>
      </c>
      <c r="O17" s="5" t="str">
        <f>"006285"</f>
        <v>006285</v>
      </c>
      <c r="P17" s="4">
        <v>43380</v>
      </c>
      <c r="Q17" s="7">
        <v>119.60048</v>
      </c>
      <c r="R17" s="7">
        <v>11.05303</v>
      </c>
      <c r="S17" s="7">
        <v>108.54745</v>
      </c>
      <c r="T17" s="5">
        <v>228</v>
      </c>
      <c r="U17" s="4">
        <v>43385</v>
      </c>
      <c r="V17" s="5">
        <v>9964929025</v>
      </c>
      <c r="W17" s="6" t="s">
        <v>49</v>
      </c>
      <c r="X17" s="5" t="s">
        <v>28</v>
      </c>
      <c r="Y17" s="6" t="s">
        <v>29</v>
      </c>
      <c r="Z17" s="5" t="s">
        <v>104</v>
      </c>
      <c r="AA17" s="6" t="s">
        <v>105</v>
      </c>
      <c r="AB17" s="7">
        <f>Q17/100</f>
        <v>1.1960048000000001</v>
      </c>
      <c r="AD17" s="8"/>
      <c r="AF17" s="8"/>
      <c r="AG17" s="8"/>
    </row>
    <row r="18" spans="1:33" x14ac:dyDescent="0.2">
      <c r="A18" s="12">
        <v>5989</v>
      </c>
      <c r="B18" s="13" t="s">
        <v>43</v>
      </c>
      <c r="C18" s="13">
        <v>43385</v>
      </c>
      <c r="D18" s="5">
        <v>41</v>
      </c>
      <c r="E18" s="6" t="s">
        <v>64</v>
      </c>
      <c r="F18" s="5" t="s">
        <v>108</v>
      </c>
      <c r="G18" s="6" t="s">
        <v>109</v>
      </c>
      <c r="H18" s="5" t="str">
        <f>"000008"</f>
        <v>000008</v>
      </c>
      <c r="I18" s="4">
        <v>43285</v>
      </c>
      <c r="J18" s="5" t="str">
        <f>"000009"</f>
        <v>000009</v>
      </c>
      <c r="K18" s="4">
        <v>43285</v>
      </c>
      <c r="L18" s="5" t="str">
        <f>"000012"</f>
        <v>000012</v>
      </c>
      <c r="M18" s="4">
        <v>43286</v>
      </c>
      <c r="N18" s="5">
        <v>18</v>
      </c>
      <c r="O18" s="5" t="str">
        <f>"006286"</f>
        <v>006286</v>
      </c>
      <c r="P18" s="4">
        <v>43380</v>
      </c>
      <c r="Q18" s="7">
        <v>117.25342000000001</v>
      </c>
      <c r="R18" s="7">
        <v>11.79105</v>
      </c>
      <c r="S18" s="7">
        <v>105.46237000000001</v>
      </c>
      <c r="T18" s="5">
        <v>228</v>
      </c>
      <c r="U18" s="4">
        <v>43385</v>
      </c>
      <c r="V18" s="5">
        <v>9964929025</v>
      </c>
      <c r="W18" s="6" t="s">
        <v>49</v>
      </c>
      <c r="X18" s="5" t="s">
        <v>28</v>
      </c>
      <c r="Y18" s="6" t="s">
        <v>29</v>
      </c>
      <c r="Z18" s="5" t="s">
        <v>104</v>
      </c>
      <c r="AA18" s="6" t="s">
        <v>105</v>
      </c>
      <c r="AB18" s="7">
        <f>Q18/100</f>
        <v>1.1725342000000001</v>
      </c>
      <c r="AD18" s="8"/>
      <c r="AF18" s="8"/>
      <c r="AG18" s="8"/>
    </row>
    <row r="19" spans="1:33" x14ac:dyDescent="0.2">
      <c r="A19" s="12">
        <v>5990</v>
      </c>
      <c r="B19" s="13" t="s">
        <v>43</v>
      </c>
      <c r="C19" s="13">
        <v>43385</v>
      </c>
      <c r="D19" s="5">
        <v>41</v>
      </c>
      <c r="E19" s="6" t="s">
        <v>64</v>
      </c>
      <c r="F19" s="5" t="s">
        <v>102</v>
      </c>
      <c r="G19" s="6" t="s">
        <v>103</v>
      </c>
      <c r="H19" s="5" t="str">
        <f>"000009"</f>
        <v>000009</v>
      </c>
      <c r="I19" s="4">
        <v>43285</v>
      </c>
      <c r="J19" s="5" t="str">
        <f>"000010"</f>
        <v>000010</v>
      </c>
      <c r="K19" s="4">
        <v>43285</v>
      </c>
      <c r="L19" s="5" t="str">
        <f>"000010"</f>
        <v>000010</v>
      </c>
      <c r="M19" s="4">
        <v>43286</v>
      </c>
      <c r="N19" s="5">
        <v>18</v>
      </c>
      <c r="O19" s="5" t="str">
        <f>"006240"</f>
        <v>006240</v>
      </c>
      <c r="P19" s="4">
        <v>43380</v>
      </c>
      <c r="Q19" s="7">
        <v>55.142510000000001</v>
      </c>
      <c r="R19" s="7">
        <v>6.7410100000000002</v>
      </c>
      <c r="S19" s="7">
        <v>48.401499999999999</v>
      </c>
      <c r="T19" s="5">
        <v>228</v>
      </c>
      <c r="U19" s="4">
        <v>43385</v>
      </c>
      <c r="V19" s="5">
        <v>9964929025</v>
      </c>
      <c r="W19" s="6" t="s">
        <v>49</v>
      </c>
      <c r="X19" s="5" t="s">
        <v>28</v>
      </c>
      <c r="Y19" s="6" t="s">
        <v>29</v>
      </c>
      <c r="Z19" s="5" t="s">
        <v>104</v>
      </c>
      <c r="AA19" s="6" t="s">
        <v>105</v>
      </c>
      <c r="AB19" s="7">
        <f>Q19/100</f>
        <v>0.5514251</v>
      </c>
      <c r="AD19" s="8"/>
      <c r="AF19" s="8"/>
      <c r="AG19" s="8"/>
    </row>
    <row r="20" spans="1:33" x14ac:dyDescent="0.2">
      <c r="A20" s="12">
        <v>5991</v>
      </c>
      <c r="B20" s="13" t="s">
        <v>43</v>
      </c>
      <c r="C20" s="13">
        <v>43385</v>
      </c>
      <c r="D20" s="5">
        <v>41</v>
      </c>
      <c r="E20" s="6" t="s">
        <v>64</v>
      </c>
      <c r="F20" s="5" t="s">
        <v>106</v>
      </c>
      <c r="G20" s="6" t="s">
        <v>107</v>
      </c>
      <c r="H20" s="5" t="str">
        <f>"000007"</f>
        <v>000007</v>
      </c>
      <c r="I20" s="4">
        <v>43285</v>
      </c>
      <c r="J20" s="5" t="str">
        <f>"000008"</f>
        <v>000008</v>
      </c>
      <c r="K20" s="4">
        <v>43285</v>
      </c>
      <c r="L20" s="5" t="str">
        <f>"000011"</f>
        <v>000011</v>
      </c>
      <c r="M20" s="4">
        <v>43286</v>
      </c>
      <c r="N20" s="5">
        <v>18</v>
      </c>
      <c r="O20" s="5" t="str">
        <f>"006285"</f>
        <v>006285</v>
      </c>
      <c r="P20" s="4">
        <v>43380</v>
      </c>
      <c r="Q20" s="7">
        <v>119.60048</v>
      </c>
      <c r="R20" s="7">
        <v>11.05303</v>
      </c>
      <c r="S20" s="7">
        <v>108.54745</v>
      </c>
      <c r="T20" s="5">
        <v>228</v>
      </c>
      <c r="U20" s="4">
        <v>43385</v>
      </c>
      <c r="V20" s="5">
        <v>9964929025</v>
      </c>
      <c r="W20" s="6" t="s">
        <v>49</v>
      </c>
      <c r="X20" s="5" t="s">
        <v>28</v>
      </c>
      <c r="Y20" s="6" t="s">
        <v>29</v>
      </c>
      <c r="Z20" s="5" t="s">
        <v>104</v>
      </c>
      <c r="AA20" s="6" t="s">
        <v>105</v>
      </c>
      <c r="AB20" s="7">
        <f>Q20/100</f>
        <v>1.1960048000000001</v>
      </c>
      <c r="AD20" s="8"/>
      <c r="AF20" s="8"/>
      <c r="AG20" s="8"/>
    </row>
    <row r="21" spans="1:33" x14ac:dyDescent="0.2">
      <c r="A21" s="12">
        <v>5992</v>
      </c>
      <c r="B21" s="13" t="s">
        <v>43</v>
      </c>
      <c r="C21" s="13">
        <v>43385</v>
      </c>
      <c r="D21" s="5">
        <v>41</v>
      </c>
      <c r="E21" s="6" t="s">
        <v>64</v>
      </c>
      <c r="F21" s="5" t="s">
        <v>108</v>
      </c>
      <c r="G21" s="6" t="s">
        <v>109</v>
      </c>
      <c r="H21" s="5" t="str">
        <f>"000008"</f>
        <v>000008</v>
      </c>
      <c r="I21" s="4">
        <v>43285</v>
      </c>
      <c r="J21" s="5" t="str">
        <f>"000009"</f>
        <v>000009</v>
      </c>
      <c r="K21" s="4">
        <v>43285</v>
      </c>
      <c r="L21" s="5" t="str">
        <f>"000012"</f>
        <v>000012</v>
      </c>
      <c r="M21" s="4">
        <v>43286</v>
      </c>
      <c r="N21" s="5">
        <v>18</v>
      </c>
      <c r="O21" s="5" t="str">
        <f>"006286"</f>
        <v>006286</v>
      </c>
      <c r="P21" s="4">
        <v>43380</v>
      </c>
      <c r="Q21" s="7">
        <v>117.25342000000001</v>
      </c>
      <c r="R21" s="7">
        <v>11.79105</v>
      </c>
      <c r="S21" s="7">
        <v>105.46237000000001</v>
      </c>
      <c r="T21" s="5">
        <v>228</v>
      </c>
      <c r="U21" s="4">
        <v>43385</v>
      </c>
      <c r="V21" s="5">
        <v>9964929025</v>
      </c>
      <c r="W21" s="6" t="s">
        <v>49</v>
      </c>
      <c r="X21" s="5" t="s">
        <v>28</v>
      </c>
      <c r="Y21" s="6" t="s">
        <v>29</v>
      </c>
      <c r="Z21" s="5" t="s">
        <v>104</v>
      </c>
      <c r="AA21" s="6" t="s">
        <v>105</v>
      </c>
      <c r="AB21" s="7">
        <f>Q21/100</f>
        <v>1.1725342000000001</v>
      </c>
      <c r="AD21" s="8"/>
      <c r="AF21" s="8"/>
      <c r="AG21" s="8"/>
    </row>
    <row r="22" spans="1:33" x14ac:dyDescent="0.2">
      <c r="A22" s="12">
        <v>6518</v>
      </c>
      <c r="B22" s="13" t="s">
        <v>43</v>
      </c>
      <c r="C22" s="13">
        <v>43389</v>
      </c>
      <c r="D22" s="5">
        <v>41</v>
      </c>
      <c r="E22" s="6" t="s">
        <v>64</v>
      </c>
      <c r="F22" s="5" t="s">
        <v>110</v>
      </c>
      <c r="G22" s="6" t="s">
        <v>111</v>
      </c>
      <c r="H22" s="5" t="str">
        <f>"000013"</f>
        <v>000013</v>
      </c>
      <c r="I22" s="4">
        <v>43357</v>
      </c>
      <c r="J22" s="5" t="str">
        <f>"000015"</f>
        <v>000015</v>
      </c>
      <c r="K22" s="4">
        <v>43357</v>
      </c>
      <c r="L22" s="5" t="str">
        <f>"000014"</f>
        <v>000014</v>
      </c>
      <c r="M22" s="4">
        <v>43357</v>
      </c>
      <c r="N22" s="5">
        <v>18</v>
      </c>
      <c r="O22" s="5" t="str">
        <f>"006636"</f>
        <v>006636</v>
      </c>
      <c r="P22" s="4">
        <v>43385</v>
      </c>
      <c r="Q22" s="7">
        <v>87.960449999999994</v>
      </c>
      <c r="R22" s="7">
        <v>8.8365500000000008</v>
      </c>
      <c r="S22" s="7">
        <v>79.123900000000006</v>
      </c>
      <c r="T22" s="5">
        <v>235</v>
      </c>
      <c r="U22" s="4">
        <v>43389</v>
      </c>
      <c r="V22" s="5">
        <v>9449863064</v>
      </c>
      <c r="W22" s="6" t="s">
        <v>112</v>
      </c>
      <c r="X22" s="5" t="s">
        <v>28</v>
      </c>
      <c r="Y22" s="6" t="s">
        <v>29</v>
      </c>
      <c r="Z22" s="5" t="s">
        <v>104</v>
      </c>
      <c r="AA22" s="6" t="s">
        <v>105</v>
      </c>
      <c r="AB22" s="7">
        <f>Q22/100</f>
        <v>0.8796044999999999</v>
      </c>
      <c r="AD22" s="8"/>
      <c r="AF22" s="8"/>
      <c r="AG22" s="8"/>
    </row>
    <row r="23" spans="1:33" x14ac:dyDescent="0.2">
      <c r="A23" s="12">
        <v>6920</v>
      </c>
      <c r="B23" s="13" t="s">
        <v>43</v>
      </c>
      <c r="C23" s="13">
        <v>43402</v>
      </c>
      <c r="D23" s="5">
        <v>41</v>
      </c>
      <c r="E23" s="6" t="s">
        <v>64</v>
      </c>
      <c r="F23" s="5" t="s">
        <v>113</v>
      </c>
      <c r="G23" s="6" t="s">
        <v>114</v>
      </c>
      <c r="H23" s="5" t="str">
        <f>"000018"</f>
        <v>000018</v>
      </c>
      <c r="I23" s="4">
        <v>43385</v>
      </c>
      <c r="J23" s="5" t="str">
        <f>"000017"</f>
        <v>000017</v>
      </c>
      <c r="K23" s="4">
        <v>43385</v>
      </c>
      <c r="L23" s="5" t="str">
        <f>"000016"</f>
        <v>000016</v>
      </c>
      <c r="M23" s="4">
        <v>43389</v>
      </c>
      <c r="N23" s="5">
        <v>18</v>
      </c>
      <c r="O23" s="5" t="str">
        <f>"007083"</f>
        <v>007083</v>
      </c>
      <c r="P23" s="4">
        <v>43400</v>
      </c>
      <c r="Q23" s="7">
        <v>149.05047999999999</v>
      </c>
      <c r="R23" s="7">
        <v>16.333100000000002</v>
      </c>
      <c r="S23" s="7">
        <v>132.71737999999999</v>
      </c>
      <c r="T23" s="5">
        <v>252</v>
      </c>
      <c r="U23" s="4">
        <v>43402</v>
      </c>
      <c r="V23" s="5">
        <v>9343403995</v>
      </c>
      <c r="W23" s="6" t="s">
        <v>115</v>
      </c>
      <c r="X23" s="5" t="s">
        <v>28</v>
      </c>
      <c r="Y23" s="6" t="s">
        <v>29</v>
      </c>
      <c r="Z23" s="5" t="s">
        <v>104</v>
      </c>
      <c r="AA23" s="6" t="s">
        <v>105</v>
      </c>
      <c r="AB23" s="7">
        <f>Q23/100</f>
        <v>1.4905047999999999</v>
      </c>
      <c r="AD23" s="8"/>
      <c r="AF23" s="8"/>
      <c r="AG23" s="8"/>
    </row>
    <row r="24" spans="1:33" x14ac:dyDescent="0.2">
      <c r="A24" s="12">
        <v>6921</v>
      </c>
      <c r="B24" s="13" t="s">
        <v>43</v>
      </c>
      <c r="C24" s="13">
        <v>43402</v>
      </c>
      <c r="D24" s="5">
        <v>41</v>
      </c>
      <c r="E24" s="6" t="s">
        <v>64</v>
      </c>
      <c r="F24" s="5" t="s">
        <v>116</v>
      </c>
      <c r="G24" s="6" t="s">
        <v>117</v>
      </c>
      <c r="H24" s="5" t="str">
        <f>"000022"</f>
        <v>000022</v>
      </c>
      <c r="I24" s="4">
        <v>43388</v>
      </c>
      <c r="J24" s="5" t="str">
        <f>"000020"</f>
        <v>000020</v>
      </c>
      <c r="K24" s="4">
        <v>43388</v>
      </c>
      <c r="L24" s="5" t="str">
        <f>"000017"</f>
        <v>000017</v>
      </c>
      <c r="M24" s="4">
        <v>43389</v>
      </c>
      <c r="N24" s="5">
        <v>18</v>
      </c>
      <c r="O24" s="5" t="str">
        <f>"007084"</f>
        <v>007084</v>
      </c>
      <c r="P24" s="4">
        <v>43400</v>
      </c>
      <c r="Q24" s="7">
        <v>96.34384</v>
      </c>
      <c r="R24" s="7">
        <v>11.21161</v>
      </c>
      <c r="S24" s="7">
        <v>85.132230000000007</v>
      </c>
      <c r="T24" s="5">
        <v>252</v>
      </c>
      <c r="U24" s="4">
        <v>43402</v>
      </c>
      <c r="V24" s="5">
        <v>9448512985</v>
      </c>
      <c r="W24" s="6" t="s">
        <v>115</v>
      </c>
      <c r="X24" s="5" t="s">
        <v>28</v>
      </c>
      <c r="Y24" s="6" t="s">
        <v>29</v>
      </c>
      <c r="Z24" s="5" t="s">
        <v>104</v>
      </c>
      <c r="AA24" s="6" t="s">
        <v>105</v>
      </c>
      <c r="AB24" s="7">
        <f>Q24/100</f>
        <v>0.96343840000000003</v>
      </c>
      <c r="AD24" s="8"/>
      <c r="AF24" s="8"/>
      <c r="AG24" s="8"/>
    </row>
    <row r="25" spans="1:33" x14ac:dyDescent="0.2">
      <c r="A25" s="12">
        <v>6922</v>
      </c>
      <c r="B25" s="13" t="s">
        <v>43</v>
      </c>
      <c r="C25" s="13">
        <v>43402</v>
      </c>
      <c r="D25" s="5">
        <v>41</v>
      </c>
      <c r="E25" s="6" t="s">
        <v>64</v>
      </c>
      <c r="F25" s="5" t="s">
        <v>118</v>
      </c>
      <c r="G25" s="6" t="s">
        <v>119</v>
      </c>
      <c r="H25" s="5" t="str">
        <f>"000015"</f>
        <v>000015</v>
      </c>
      <c r="I25" s="4">
        <v>43361</v>
      </c>
      <c r="J25" s="5" t="str">
        <f>"000032"</f>
        <v>000032</v>
      </c>
      <c r="K25" s="4">
        <v>43423</v>
      </c>
      <c r="L25" s="5" t="str">
        <f>"000030"</f>
        <v>000030</v>
      </c>
      <c r="M25" s="4">
        <v>43424</v>
      </c>
      <c r="N25" s="5">
        <v>18</v>
      </c>
      <c r="O25" s="5" t="str">
        <f>"008417"</f>
        <v>008417</v>
      </c>
      <c r="P25" s="4">
        <v>43463</v>
      </c>
      <c r="Q25" s="7">
        <v>148.33625000000001</v>
      </c>
      <c r="R25" s="7">
        <v>17.504239999999999</v>
      </c>
      <c r="S25" s="7">
        <v>130.83201</v>
      </c>
      <c r="T25" s="5">
        <v>252</v>
      </c>
      <c r="U25" s="4">
        <v>43402</v>
      </c>
      <c r="V25" s="5">
        <v>8050769142</v>
      </c>
      <c r="W25" s="6" t="s">
        <v>115</v>
      </c>
      <c r="X25" s="5" t="s">
        <v>28</v>
      </c>
      <c r="Y25" s="6" t="s">
        <v>29</v>
      </c>
      <c r="Z25" s="5" t="s">
        <v>104</v>
      </c>
      <c r="AA25" s="6" t="s">
        <v>105</v>
      </c>
      <c r="AB25" s="7">
        <f>Q25/100</f>
        <v>1.4833625000000001</v>
      </c>
      <c r="AD25" s="8"/>
      <c r="AF25" s="8"/>
      <c r="AG25" s="8"/>
    </row>
    <row r="26" spans="1:33" x14ac:dyDescent="0.2">
      <c r="A26" s="12">
        <v>6923</v>
      </c>
      <c r="B26" s="13" t="s">
        <v>43</v>
      </c>
      <c r="C26" s="13">
        <v>43402</v>
      </c>
      <c r="D26" s="5">
        <v>41</v>
      </c>
      <c r="E26" s="6" t="s">
        <v>64</v>
      </c>
      <c r="F26" s="5" t="s">
        <v>120</v>
      </c>
      <c r="G26" s="6" t="s">
        <v>121</v>
      </c>
      <c r="H26" s="5" t="str">
        <f>"000023"</f>
        <v>000023</v>
      </c>
      <c r="I26" s="4">
        <v>43388</v>
      </c>
      <c r="J26" s="5" t="str">
        <f>"000019"</f>
        <v>000019</v>
      </c>
      <c r="K26" s="4">
        <v>43388</v>
      </c>
      <c r="L26" s="5" t="str">
        <f>"000019"</f>
        <v>000019</v>
      </c>
      <c r="M26" s="4">
        <v>43389</v>
      </c>
      <c r="N26" s="5">
        <v>18</v>
      </c>
      <c r="O26" s="5" t="str">
        <f>"007086"</f>
        <v>007086</v>
      </c>
      <c r="P26" s="4">
        <v>43400</v>
      </c>
      <c r="Q26" s="7">
        <v>96.470399999999998</v>
      </c>
      <c r="R26" s="7">
        <v>11.649749999999999</v>
      </c>
      <c r="S26" s="7">
        <v>84.820650000000001</v>
      </c>
      <c r="T26" s="5">
        <v>252</v>
      </c>
      <c r="U26" s="4">
        <v>43402</v>
      </c>
      <c r="V26" s="5">
        <v>9900339339</v>
      </c>
      <c r="W26" s="6" t="s">
        <v>115</v>
      </c>
      <c r="X26" s="5" t="s">
        <v>28</v>
      </c>
      <c r="Y26" s="6" t="s">
        <v>29</v>
      </c>
      <c r="Z26" s="5" t="s">
        <v>104</v>
      </c>
      <c r="AA26" s="6" t="s">
        <v>105</v>
      </c>
      <c r="AB26" s="7">
        <f>Q26/100</f>
        <v>0.96470400000000001</v>
      </c>
      <c r="AD26" s="8"/>
      <c r="AF26" s="8"/>
      <c r="AG26" s="8"/>
    </row>
    <row r="27" spans="1:33" x14ac:dyDescent="0.2">
      <c r="A27" s="12">
        <v>6979</v>
      </c>
      <c r="B27" s="13" t="s">
        <v>43</v>
      </c>
      <c r="C27" s="13">
        <v>43403</v>
      </c>
      <c r="D27" s="5">
        <v>41</v>
      </c>
      <c r="E27" s="6" t="s">
        <v>64</v>
      </c>
      <c r="F27" s="5" t="s">
        <v>122</v>
      </c>
      <c r="G27" s="6" t="s">
        <v>123</v>
      </c>
      <c r="H27" s="5" t="str">
        <f>"000072"</f>
        <v>000072</v>
      </c>
      <c r="I27" s="4">
        <v>42629</v>
      </c>
      <c r="J27" s="5" t="str">
        <f>"000114"</f>
        <v>000114</v>
      </c>
      <c r="K27" s="4">
        <v>42674</v>
      </c>
      <c r="L27" s="5" t="str">
        <f>"000646"</f>
        <v>000646</v>
      </c>
      <c r="M27" s="4">
        <v>42808</v>
      </c>
      <c r="N27" s="5">
        <v>15</v>
      </c>
      <c r="O27" s="5" t="str">
        <f>"006987"</f>
        <v>006987</v>
      </c>
      <c r="P27" s="4">
        <v>43400</v>
      </c>
      <c r="Q27" s="7">
        <v>35</v>
      </c>
      <c r="R27" s="7">
        <v>4.6725000000000003</v>
      </c>
      <c r="S27" s="7">
        <v>30.327500000000001</v>
      </c>
      <c r="T27" s="5">
        <v>254</v>
      </c>
      <c r="U27" s="4">
        <v>43403</v>
      </c>
      <c r="V27" s="5">
        <v>9449219009</v>
      </c>
      <c r="W27" s="6" t="s">
        <v>49</v>
      </c>
      <c r="X27" s="5" t="s">
        <v>31</v>
      </c>
      <c r="Y27" s="6" t="s">
        <v>32</v>
      </c>
      <c r="Z27" s="5" t="s">
        <v>48</v>
      </c>
      <c r="AA27" s="6" t="s">
        <v>47</v>
      </c>
      <c r="AB27" s="7">
        <f>Q27/100</f>
        <v>0.35</v>
      </c>
      <c r="AD27" s="8"/>
      <c r="AF27" s="8"/>
      <c r="AG27" s="8"/>
    </row>
    <row r="28" spans="1:33" x14ac:dyDescent="0.2">
      <c r="A28" s="12">
        <v>7200</v>
      </c>
      <c r="B28" s="13" t="s">
        <v>41</v>
      </c>
      <c r="C28" s="13">
        <v>43420</v>
      </c>
      <c r="D28" s="5">
        <v>41</v>
      </c>
      <c r="E28" s="6" t="s">
        <v>64</v>
      </c>
      <c r="F28" s="5" t="s">
        <v>124</v>
      </c>
      <c r="G28" s="6" t="s">
        <v>125</v>
      </c>
      <c r="H28" s="5" t="str">
        <f>"000308"</f>
        <v>000308</v>
      </c>
      <c r="I28" s="4">
        <v>43178</v>
      </c>
      <c r="J28" s="5" t="str">
        <f>"000029"</f>
        <v>000029</v>
      </c>
      <c r="K28" s="4">
        <v>43360</v>
      </c>
      <c r="L28" s="5" t="str">
        <f>"000208"</f>
        <v>000208</v>
      </c>
      <c r="M28" s="4">
        <v>43389</v>
      </c>
      <c r="N28" s="5">
        <v>18</v>
      </c>
      <c r="O28" s="5" t="str">
        <f>"007347"</f>
        <v>007347</v>
      </c>
      <c r="P28" s="4">
        <v>43418</v>
      </c>
      <c r="Q28" s="7">
        <v>14.997769999999999</v>
      </c>
      <c r="R28" s="7">
        <v>1.58291</v>
      </c>
      <c r="S28" s="7">
        <v>13.414859999999999</v>
      </c>
      <c r="T28" s="5">
        <v>265</v>
      </c>
      <c r="U28" s="4">
        <v>43420</v>
      </c>
      <c r="V28" s="5">
        <v>9449219009</v>
      </c>
      <c r="W28" s="6" t="s">
        <v>49</v>
      </c>
      <c r="X28" s="5" t="s">
        <v>57</v>
      </c>
      <c r="Y28" s="6" t="s">
        <v>56</v>
      </c>
      <c r="Z28" s="5" t="s">
        <v>48</v>
      </c>
      <c r="AA28" s="6" t="s">
        <v>47</v>
      </c>
      <c r="AB28" s="7">
        <f>Q28/100</f>
        <v>0.14997769999999999</v>
      </c>
      <c r="AD28" s="8"/>
      <c r="AF28" s="8"/>
      <c r="AG28" s="8"/>
    </row>
    <row r="29" spans="1:33" x14ac:dyDescent="0.2">
      <c r="A29" s="12">
        <v>7201</v>
      </c>
      <c r="B29" s="13" t="s">
        <v>41</v>
      </c>
      <c r="C29" s="13">
        <v>43420</v>
      </c>
      <c r="D29" s="5">
        <v>41</v>
      </c>
      <c r="E29" s="6" t="s">
        <v>64</v>
      </c>
      <c r="F29" s="5" t="s">
        <v>126</v>
      </c>
      <c r="G29" s="6" t="s">
        <v>127</v>
      </c>
      <c r="H29" s="5" t="str">
        <f>"000309"</f>
        <v>000309</v>
      </c>
      <c r="I29" s="4">
        <v>43178</v>
      </c>
      <c r="J29" s="5" t="str">
        <f>"000027"</f>
        <v>000027</v>
      </c>
      <c r="K29" s="4">
        <v>43360</v>
      </c>
      <c r="L29" s="5" t="str">
        <f>"000209"</f>
        <v>000209</v>
      </c>
      <c r="M29" s="4">
        <v>43389</v>
      </c>
      <c r="N29" s="5">
        <v>18</v>
      </c>
      <c r="O29" s="5" t="str">
        <f>"007348"</f>
        <v>007348</v>
      </c>
      <c r="P29" s="4">
        <v>43418</v>
      </c>
      <c r="Q29" s="7">
        <v>14.99892</v>
      </c>
      <c r="R29" s="7">
        <v>1.6430899999999999</v>
      </c>
      <c r="S29" s="7">
        <v>13.355829999999999</v>
      </c>
      <c r="T29" s="5">
        <v>265</v>
      </c>
      <c r="U29" s="4">
        <v>43420</v>
      </c>
      <c r="V29" s="5">
        <v>9449219909</v>
      </c>
      <c r="W29" s="6" t="s">
        <v>49</v>
      </c>
      <c r="X29" s="5" t="s">
        <v>55</v>
      </c>
      <c r="Y29" s="6" t="s">
        <v>54</v>
      </c>
      <c r="Z29" s="5" t="s">
        <v>48</v>
      </c>
      <c r="AA29" s="6" t="s">
        <v>47</v>
      </c>
      <c r="AB29" s="7">
        <f>Q29/100</f>
        <v>0.14998919999999999</v>
      </c>
      <c r="AD29" s="8"/>
      <c r="AF29" s="8"/>
      <c r="AG29" s="8"/>
    </row>
    <row r="30" spans="1:33" x14ac:dyDescent="0.2">
      <c r="A30" s="12">
        <v>7202</v>
      </c>
      <c r="B30" s="13" t="s">
        <v>41</v>
      </c>
      <c r="C30" s="13">
        <v>43420</v>
      </c>
      <c r="D30" s="5">
        <v>41</v>
      </c>
      <c r="E30" s="6" t="s">
        <v>64</v>
      </c>
      <c r="F30" s="5" t="s">
        <v>128</v>
      </c>
      <c r="G30" s="6" t="s">
        <v>129</v>
      </c>
      <c r="H30" s="5" t="str">
        <f>"000306"</f>
        <v>000306</v>
      </c>
      <c r="I30" s="4">
        <v>43178</v>
      </c>
      <c r="J30" s="5" t="str">
        <f>"000028"</f>
        <v>000028</v>
      </c>
      <c r="K30" s="4">
        <v>43360</v>
      </c>
      <c r="L30" s="5" t="str">
        <f>"000210"</f>
        <v>000210</v>
      </c>
      <c r="M30" s="4">
        <v>43389</v>
      </c>
      <c r="N30" s="5">
        <v>18</v>
      </c>
      <c r="O30" s="5" t="str">
        <f>"007349"</f>
        <v>007349</v>
      </c>
      <c r="P30" s="4">
        <v>43418</v>
      </c>
      <c r="Q30" s="7">
        <v>4.99892</v>
      </c>
      <c r="R30" s="7">
        <v>0.5131</v>
      </c>
      <c r="S30" s="7">
        <v>4.4858200000000004</v>
      </c>
      <c r="T30" s="5">
        <v>265</v>
      </c>
      <c r="U30" s="4">
        <v>43420</v>
      </c>
      <c r="V30" s="5">
        <v>9449219909</v>
      </c>
      <c r="W30" s="6" t="s">
        <v>49</v>
      </c>
      <c r="X30" s="5" t="s">
        <v>61</v>
      </c>
      <c r="Y30" s="6" t="s">
        <v>60</v>
      </c>
      <c r="Z30" s="5" t="s">
        <v>48</v>
      </c>
      <c r="AA30" s="6" t="s">
        <v>47</v>
      </c>
      <c r="AB30" s="7">
        <f>Q30/100</f>
        <v>4.9989199999999998E-2</v>
      </c>
      <c r="AD30" s="8"/>
      <c r="AF30" s="8"/>
      <c r="AG30" s="8"/>
    </row>
    <row r="31" spans="1:33" x14ac:dyDescent="0.2">
      <c r="A31" s="12">
        <v>7203</v>
      </c>
      <c r="B31" s="13" t="s">
        <v>41</v>
      </c>
      <c r="C31" s="13">
        <v>43420</v>
      </c>
      <c r="D31" s="5">
        <v>41</v>
      </c>
      <c r="E31" s="6" t="s">
        <v>64</v>
      </c>
      <c r="F31" s="5" t="s">
        <v>130</v>
      </c>
      <c r="G31" s="6" t="s">
        <v>131</v>
      </c>
      <c r="H31" s="5" t="str">
        <f>"000307"</f>
        <v>000307</v>
      </c>
      <c r="I31" s="4">
        <v>43178</v>
      </c>
      <c r="J31" s="5" t="str">
        <f>"000030"</f>
        <v>000030</v>
      </c>
      <c r="K31" s="4">
        <v>43360</v>
      </c>
      <c r="L31" s="5" t="str">
        <f>"000211"</f>
        <v>000211</v>
      </c>
      <c r="M31" s="4">
        <v>43389</v>
      </c>
      <c r="N31" s="5">
        <v>18</v>
      </c>
      <c r="O31" s="5" t="str">
        <f>"007350"</f>
        <v>007350</v>
      </c>
      <c r="P31" s="4">
        <v>43418</v>
      </c>
      <c r="Q31" s="7">
        <v>19.999379999999999</v>
      </c>
      <c r="R31" s="7">
        <v>2.0491100000000002</v>
      </c>
      <c r="S31" s="7">
        <v>17.95027</v>
      </c>
      <c r="T31" s="5">
        <v>265</v>
      </c>
      <c r="U31" s="4">
        <v>43420</v>
      </c>
      <c r="V31" s="5">
        <v>9449219009</v>
      </c>
      <c r="W31" s="6" t="s">
        <v>49</v>
      </c>
      <c r="X31" s="5" t="s">
        <v>59</v>
      </c>
      <c r="Y31" s="6" t="s">
        <v>58</v>
      </c>
      <c r="Z31" s="5" t="s">
        <v>48</v>
      </c>
      <c r="AA31" s="6" t="s">
        <v>47</v>
      </c>
      <c r="AB31" s="7">
        <f>Q31/100</f>
        <v>0.1999938</v>
      </c>
      <c r="AD31" s="8"/>
      <c r="AF31" s="8"/>
      <c r="AG31" s="8"/>
    </row>
    <row r="32" spans="1:33" x14ac:dyDescent="0.2">
      <c r="A32" s="12">
        <v>7204</v>
      </c>
      <c r="B32" s="13" t="s">
        <v>41</v>
      </c>
      <c r="C32" s="13">
        <v>43420</v>
      </c>
      <c r="D32" s="5">
        <v>41</v>
      </c>
      <c r="E32" s="6" t="s">
        <v>64</v>
      </c>
      <c r="F32" s="5" t="s">
        <v>132</v>
      </c>
      <c r="G32" s="6" t="s">
        <v>133</v>
      </c>
      <c r="H32" s="5" t="str">
        <f>"000312"</f>
        <v>000312</v>
      </c>
      <c r="I32" s="4">
        <v>43178</v>
      </c>
      <c r="J32" s="5" t="str">
        <f>"000026"</f>
        <v>000026</v>
      </c>
      <c r="K32" s="4">
        <v>43360</v>
      </c>
      <c r="L32" s="5" t="str">
        <f>"000212"</f>
        <v>000212</v>
      </c>
      <c r="M32" s="4">
        <v>43389</v>
      </c>
      <c r="N32" s="5">
        <v>18</v>
      </c>
      <c r="O32" s="5" t="str">
        <f>"007351"</f>
        <v>007351</v>
      </c>
      <c r="P32" s="4">
        <v>43418</v>
      </c>
      <c r="Q32" s="7">
        <v>9.9860500000000005</v>
      </c>
      <c r="R32" s="7">
        <v>1.0366899999999999</v>
      </c>
      <c r="S32" s="7">
        <v>8.9493600000000004</v>
      </c>
      <c r="T32" s="5">
        <v>265</v>
      </c>
      <c r="U32" s="4">
        <v>43420</v>
      </c>
      <c r="V32" s="5">
        <v>9449219009</v>
      </c>
      <c r="W32" s="6" t="s">
        <v>49</v>
      </c>
      <c r="X32" s="5" t="s">
        <v>63</v>
      </c>
      <c r="Y32" s="6" t="s">
        <v>62</v>
      </c>
      <c r="Z32" s="5" t="s">
        <v>48</v>
      </c>
      <c r="AA32" s="6" t="s">
        <v>47</v>
      </c>
      <c r="AB32" s="7">
        <f>Q32/100</f>
        <v>9.9860500000000005E-2</v>
      </c>
      <c r="AD32" s="8"/>
      <c r="AF32" s="8"/>
      <c r="AG32" s="8"/>
    </row>
    <row r="33" spans="1:33" x14ac:dyDescent="0.2">
      <c r="A33" s="12">
        <v>7205</v>
      </c>
      <c r="B33" s="13" t="s">
        <v>41</v>
      </c>
      <c r="C33" s="13">
        <v>43420</v>
      </c>
      <c r="D33" s="5">
        <v>41</v>
      </c>
      <c r="E33" s="6" t="s">
        <v>64</v>
      </c>
      <c r="F33" s="5" t="s">
        <v>134</v>
      </c>
      <c r="G33" s="6" t="s">
        <v>135</v>
      </c>
      <c r="H33" s="5" t="str">
        <f>"000033"</f>
        <v>000033</v>
      </c>
      <c r="I33" s="4">
        <v>42844</v>
      </c>
      <c r="J33" s="5" t="str">
        <f>"000006"</f>
        <v>000006</v>
      </c>
      <c r="K33" s="4">
        <v>42870</v>
      </c>
      <c r="L33" s="5" t="str">
        <f>"000054"</f>
        <v>000054</v>
      </c>
      <c r="M33" s="4">
        <v>42885</v>
      </c>
      <c r="N33" s="5">
        <v>17</v>
      </c>
      <c r="O33" s="5" t="str">
        <f>"007282"</f>
        <v>007282</v>
      </c>
      <c r="P33" s="4">
        <v>43407</v>
      </c>
      <c r="Q33" s="7">
        <v>17.316780000000001</v>
      </c>
      <c r="R33" s="7">
        <v>1.27983</v>
      </c>
      <c r="S33" s="7">
        <v>16.036950000000001</v>
      </c>
      <c r="T33" s="5">
        <v>266</v>
      </c>
      <c r="U33" s="4">
        <v>43420</v>
      </c>
      <c r="V33" s="5">
        <v>9845187283</v>
      </c>
      <c r="W33" s="6" t="s">
        <v>136</v>
      </c>
      <c r="X33" s="5" t="s">
        <v>31</v>
      </c>
      <c r="Y33" s="6" t="s">
        <v>32</v>
      </c>
      <c r="Z33" s="5" t="s">
        <v>48</v>
      </c>
      <c r="AA33" s="6" t="s">
        <v>47</v>
      </c>
      <c r="AB33" s="7">
        <f>Q33/100</f>
        <v>0.17316780000000001</v>
      </c>
      <c r="AD33" s="8"/>
      <c r="AF33" s="8"/>
      <c r="AG33" s="8"/>
    </row>
    <row r="34" spans="1:33" x14ac:dyDescent="0.2">
      <c r="A34" s="12">
        <v>7493</v>
      </c>
      <c r="B34" s="13" t="s">
        <v>42</v>
      </c>
      <c r="C34" s="13">
        <v>43437</v>
      </c>
      <c r="D34" s="5">
        <v>41</v>
      </c>
      <c r="E34" s="6" t="s">
        <v>64</v>
      </c>
      <c r="F34" s="5" t="s">
        <v>137</v>
      </c>
      <c r="G34" s="6" t="s">
        <v>138</v>
      </c>
      <c r="H34" s="5" t="str">
        <f>"000123"</f>
        <v>000123</v>
      </c>
      <c r="I34" s="4">
        <v>42763</v>
      </c>
      <c r="J34" s="5" t="str">
        <f>"000041"</f>
        <v>000041</v>
      </c>
      <c r="K34" s="4">
        <v>42849</v>
      </c>
      <c r="L34" s="5" t="str">
        <f>"000079"</f>
        <v>000079</v>
      </c>
      <c r="M34" s="4">
        <v>42886</v>
      </c>
      <c r="N34" s="5">
        <v>16</v>
      </c>
      <c r="O34" s="5" t="str">
        <f>"007449"</f>
        <v>007449</v>
      </c>
      <c r="P34" s="4">
        <v>43421</v>
      </c>
      <c r="Q34" s="7">
        <v>90.927999999999997</v>
      </c>
      <c r="R34" s="7">
        <v>6.6831899999999997</v>
      </c>
      <c r="S34" s="7">
        <v>84.244810000000001</v>
      </c>
      <c r="T34" s="5">
        <v>279</v>
      </c>
      <c r="U34" s="4">
        <v>43437</v>
      </c>
      <c r="V34" s="5">
        <v>9448512985</v>
      </c>
      <c r="W34" s="6" t="s">
        <v>139</v>
      </c>
      <c r="X34" s="5" t="s">
        <v>31</v>
      </c>
      <c r="Y34" s="6" t="s">
        <v>32</v>
      </c>
      <c r="Z34" s="5" t="s">
        <v>89</v>
      </c>
      <c r="AA34" s="6" t="s">
        <v>90</v>
      </c>
      <c r="AB34" s="7">
        <f>Q34/100</f>
        <v>0.90927999999999998</v>
      </c>
      <c r="AD34" s="8"/>
      <c r="AF34" s="8"/>
      <c r="AG34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2019-01-14T13:49:11Z</dcterms:modified>
</cp:coreProperties>
</file>