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37" i="1" l="1"/>
  <c r="O37" i="1"/>
  <c r="L37" i="1"/>
  <c r="J37" i="1"/>
  <c r="H37" i="1"/>
  <c r="AB36" i="1"/>
  <c r="O36" i="1"/>
  <c r="L36" i="1"/>
  <c r="J36" i="1"/>
  <c r="H36" i="1"/>
  <c r="AB35" i="1"/>
  <c r="O35" i="1"/>
  <c r="L35" i="1"/>
  <c r="J35" i="1"/>
  <c r="H35" i="1"/>
  <c r="AB34" i="1"/>
  <c r="O34" i="1"/>
  <c r="L34" i="1"/>
  <c r="J34" i="1"/>
  <c r="H34" i="1"/>
  <c r="AB33" i="1"/>
  <c r="O33" i="1"/>
  <c r="L33" i="1"/>
  <c r="J33" i="1"/>
  <c r="H33" i="1"/>
  <c r="AB32" i="1"/>
  <c r="O32" i="1"/>
  <c r="L32" i="1"/>
  <c r="J32" i="1"/>
  <c r="H32" i="1"/>
  <c r="AB31" i="1"/>
  <c r="O31" i="1"/>
  <c r="L31" i="1"/>
  <c r="J31" i="1"/>
  <c r="H31" i="1"/>
  <c r="AB30" i="1"/>
  <c r="O30" i="1"/>
  <c r="L30" i="1"/>
  <c r="J30" i="1"/>
  <c r="H30" i="1"/>
  <c r="AB29" i="1"/>
  <c r="O29" i="1"/>
  <c r="L29" i="1"/>
  <c r="J29" i="1"/>
  <c r="H29" i="1"/>
  <c r="AB28" i="1"/>
  <c r="O28" i="1"/>
  <c r="L28" i="1"/>
  <c r="J28" i="1"/>
  <c r="H28" i="1"/>
  <c r="AB27" i="1"/>
  <c r="O27" i="1"/>
  <c r="L27" i="1"/>
  <c r="J27" i="1"/>
  <c r="H27" i="1"/>
  <c r="O26" i="1"/>
  <c r="L26" i="1"/>
  <c r="J26" i="1"/>
  <c r="H26" i="1"/>
  <c r="O25" i="1"/>
  <c r="L25" i="1"/>
  <c r="J25" i="1"/>
  <c r="H25" i="1"/>
  <c r="O24" i="1"/>
  <c r="L24" i="1"/>
  <c r="J24" i="1"/>
  <c r="H24" i="1"/>
  <c r="O23" i="1"/>
  <c r="L23" i="1"/>
  <c r="J23" i="1"/>
  <c r="H23" i="1"/>
  <c r="O22" i="1"/>
  <c r="L22" i="1"/>
  <c r="J22" i="1"/>
  <c r="H22" i="1"/>
  <c r="O21" i="1"/>
  <c r="L21" i="1"/>
  <c r="J21" i="1"/>
  <c r="H21" i="1"/>
  <c r="O20" i="1"/>
  <c r="L20" i="1"/>
  <c r="J20" i="1"/>
  <c r="H20" i="1"/>
  <c r="O19" i="1"/>
  <c r="L19" i="1"/>
  <c r="J19" i="1"/>
  <c r="H19" i="1"/>
  <c r="O18" i="1"/>
  <c r="L18" i="1"/>
  <c r="J18" i="1"/>
  <c r="H18" i="1"/>
  <c r="O17" i="1"/>
  <c r="L17" i="1"/>
  <c r="J17" i="1"/>
  <c r="H17" i="1"/>
  <c r="O16" i="1"/>
  <c r="L16" i="1"/>
  <c r="J16" i="1"/>
  <c r="H16" i="1"/>
  <c r="O15" i="1"/>
  <c r="L15" i="1"/>
  <c r="J15" i="1"/>
  <c r="H15" i="1"/>
  <c r="O14" i="1"/>
  <c r="L14" i="1"/>
  <c r="J14" i="1"/>
  <c r="H14" i="1"/>
  <c r="O13" i="1"/>
  <c r="L13" i="1"/>
  <c r="J13" i="1"/>
  <c r="H13" i="1"/>
  <c r="O12" i="1"/>
  <c r="L12" i="1"/>
  <c r="J12" i="1"/>
  <c r="H12" i="1"/>
  <c r="O11" i="1"/>
  <c r="L11" i="1"/>
  <c r="J11" i="1"/>
  <c r="H11" i="1"/>
  <c r="O10" i="1"/>
  <c r="L10" i="1"/>
  <c r="J10" i="1"/>
  <c r="H10" i="1"/>
  <c r="O9" i="1"/>
  <c r="L9" i="1"/>
  <c r="J9" i="1"/>
  <c r="H9" i="1"/>
  <c r="O8" i="1"/>
  <c r="L8" i="1"/>
  <c r="J8" i="1"/>
  <c r="H8" i="1"/>
  <c r="O7" i="1"/>
  <c r="L7" i="1"/>
  <c r="J7" i="1"/>
  <c r="H7" i="1"/>
  <c r="O6" i="1"/>
  <c r="L6" i="1"/>
  <c r="J6" i="1"/>
  <c r="H6" i="1"/>
  <c r="O5" i="1"/>
  <c r="L5" i="1"/>
  <c r="J5" i="1"/>
  <c r="H5" i="1"/>
  <c r="O4" i="1"/>
  <c r="L4" i="1"/>
  <c r="J4" i="1"/>
  <c r="H4" i="1"/>
  <c r="O3" i="1"/>
  <c r="L3" i="1"/>
  <c r="J3" i="1"/>
  <c r="H3" i="1"/>
  <c r="O2" i="1"/>
  <c r="L2" i="1"/>
  <c r="J2" i="1"/>
  <c r="H2" i="1"/>
</calcChain>
</file>

<file path=xl/sharedStrings.xml><?xml version="1.0" encoding="utf-8"?>
<sst xmlns="http://schemas.openxmlformats.org/spreadsheetml/2006/main" count="352" uniqueCount="145">
  <si>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</si>
  <si>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</si>
  <si>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</si>
  <si>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</si>
  <si>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</si>
  <si>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</si>
  <si>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</si>
  <si>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</si>
  <si>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</si>
  <si>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</si>
  <si>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</si>
  <si>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</si>
  <si>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</si>
  <si>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</si>
  <si>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</si>
  <si>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</si>
  <si>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</si>
  <si>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</si>
  <si>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</si>
  <si>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</si>
  <si>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</si>
  <si>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</si>
  <si>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</si>
  <si>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</si>
  <si>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</si>
  <si>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</si>
  <si>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</si>
  <si>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</si>
  <si>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August</t>
  </si>
  <si>
    <t>P1771</t>
  </si>
  <si>
    <t>Zone Works - POW Works</t>
  </si>
  <si>
    <t>July</t>
  </si>
  <si>
    <t>P0300</t>
  </si>
  <si>
    <t>M and R to Street Lights - Replacement of Burnt Bulbs etc. (Package)</t>
  </si>
  <si>
    <t>June</t>
  </si>
  <si>
    <t>May</t>
  </si>
  <si>
    <t>P3110</t>
  </si>
  <si>
    <t>14th Finance Commission Grant Works</t>
  </si>
  <si>
    <t>November</t>
  </si>
  <si>
    <t>December</t>
  </si>
  <si>
    <t>Nagarothana Works</t>
  </si>
  <si>
    <t>P3106</t>
  </si>
  <si>
    <t>October</t>
  </si>
  <si>
    <t>Special Development works in 7 CMC and 1 TMC area in BBMP</t>
  </si>
  <si>
    <t>P3089</t>
  </si>
  <si>
    <t>State Finance Commission Untied Grant Works</t>
  </si>
  <si>
    <t>P3111</t>
  </si>
  <si>
    <t>April</t>
  </si>
  <si>
    <t>KRIDL</t>
  </si>
  <si>
    <t>Special comprehensive development works in Bangalore city (Bangalore city in charge Minister Discretionary Grants)</t>
  </si>
  <si>
    <t>P3075</t>
  </si>
  <si>
    <t>Reserve fund for TandF Committee</t>
  </si>
  <si>
    <t>P2415</t>
  </si>
  <si>
    <t>Vignanapura</t>
  </si>
  <si>
    <t>051-18-000013</t>
  </si>
  <si>
    <t>Improvements to the Roads and Drains in Murugan and Aiyyappa swamy temple surrounding area in Vijinapura ward No.51.</t>
  </si>
  <si>
    <t>G.K. NAGESH</t>
  </si>
  <si>
    <t>ddo363</t>
  </si>
  <si>
    <t xml:space="preserve"> Assistant Executive Engineer Horamavu Mahadevapura Zone</t>
  </si>
  <si>
    <t>051-18-000008</t>
  </si>
  <si>
    <t>Improvements to the Subramanya layout cross roads in Vijinapura ward No.51.</t>
  </si>
  <si>
    <t>Sri K Srinivasa.</t>
  </si>
  <si>
    <t>051-18-000009</t>
  </si>
  <si>
    <t>Improvements to the Subramanya layout Main roads and cross roads in Vijinapura ward No.51..</t>
  </si>
  <si>
    <t>051-18-000004</t>
  </si>
  <si>
    <t>Improvements to the Roads and Drains in EAST of NGEF Layout Kasturinagara Block-2 in Vijinapura ward No.51..</t>
  </si>
  <si>
    <t>Sri V Anand</t>
  </si>
  <si>
    <t>051-18-000005</t>
  </si>
  <si>
    <t>Improvements to the Bhavani street and cross roads in Vijinapura ward No.51..</t>
  </si>
  <si>
    <t>051-18-000001</t>
  </si>
  <si>
    <t>Improvements to the Roads and Drains in Nagappa reddy layout in Vijinapura ward No.51.</t>
  </si>
  <si>
    <t>Sri V.Anand</t>
  </si>
  <si>
    <t>051-18-000020</t>
  </si>
  <si>
    <t>Improvements to the Ramaswami Reddy layout and Kodanda rama reddy roads in Vijinapura ward No.51.</t>
  </si>
  <si>
    <t>Sri. Venkatachalapathi.M</t>
  </si>
  <si>
    <t>051-18-000003</t>
  </si>
  <si>
    <t>Improvements to the Roads and Drains in EAST of NGEF Layout Kasturinagara Block-1 in Vijinapura ward No.51..</t>
  </si>
  <si>
    <t xml:space="preserve">Sri V Anand </t>
  </si>
  <si>
    <t>051-18-000006</t>
  </si>
  <si>
    <t>Improvements to the Balaji street and cross roads in Vijinapura ward No.51..</t>
  </si>
  <si>
    <t>Sri. K Srinivasa.</t>
  </si>
  <si>
    <t>051-18-000007</t>
  </si>
  <si>
    <t>Improvements to the Gurumurthi reddy layout roads in Vijinapura ward No.51..</t>
  </si>
  <si>
    <t>051-17-000008</t>
  </si>
  <si>
    <t>Providing Additional Streetlights to street lighting system in Vijinapura ward no 51</t>
  </si>
  <si>
    <t>M/S KARTHIK ELECTRICAL</t>
  </si>
  <si>
    <t>ddo365</t>
  </si>
  <si>
    <t xml:space="preserve"> Executive Engineer Electrical Mahadevapura Zone</t>
  </si>
  <si>
    <t>051-15-000041</t>
  </si>
  <si>
    <t xml:space="preserve">Improvements to drains at Nagappa reddy layout 1st cross in vijinapura ward no 51 </t>
  </si>
  <si>
    <t>Kodanda</t>
  </si>
  <si>
    <t>051-15-000040</t>
  </si>
  <si>
    <t xml:space="preserve">Improvements to drains at Narasimaiah Layout from Krian House to Nagireddy Property area and Udayalakshmi area Surrounding area in vijinapura ward no 51 </t>
  </si>
  <si>
    <t>T Venugopal</t>
  </si>
  <si>
    <t>051-16-000004</t>
  </si>
  <si>
    <t>Ward Manitenance works in Vijinapura Ward No51</t>
  </si>
  <si>
    <t>S.K Raju (Kemparaju)</t>
  </si>
  <si>
    <t>051-18-000002</t>
  </si>
  <si>
    <t>Improvements to the Roads and Drains in Nagappa reddy layout in Vijinapura ward No.51</t>
  </si>
  <si>
    <t>051-15-000062</t>
  </si>
  <si>
    <t>Imrovements to roads and drains at Brindavan layout main road and cross roads in Vijinapura ward no.51</t>
  </si>
  <si>
    <t>051-15-000051</t>
  </si>
  <si>
    <t xml:space="preserve">Improvement to roads and drains in Nagappa reddy layout cross roads surroundings in Vijinapura ward no.51 </t>
  </si>
  <si>
    <t>051-15-000037</t>
  </si>
  <si>
    <t xml:space="preserve"> Improvements roads and drains at FCI Gowdan Surrounding Area in vijinapura ward no 51 </t>
  </si>
  <si>
    <t>M V Kempe Gowda</t>
  </si>
  <si>
    <t>051-16-000001</t>
  </si>
  <si>
    <t>Operation and maintanance of street light fittings in ward no 51 Vijinapura Mahadevapura Zone M12</t>
  </si>
  <si>
    <t>M/S KARTHIK ELECTRICALS</t>
  </si>
  <si>
    <t>051-16-000005</t>
  </si>
  <si>
    <t>Amount Reserved for emergency works with the approval of Zonal Joint Commissioner in Ward No51</t>
  </si>
  <si>
    <t xml:space="preserve">M Suresh </t>
  </si>
  <si>
    <t>051-16-000009</t>
  </si>
  <si>
    <t>Improvements to roads and drains at nandini street in Vijinapura ward no51</t>
  </si>
  <si>
    <t>Sri T Venugopal</t>
  </si>
  <si>
    <t>051-17-000018</t>
  </si>
  <si>
    <t>Improvements to the Roads and drains in RR Layout Block  2 in Vijinapura Ward No  51</t>
  </si>
  <si>
    <t xml:space="preserve">Sri Prakash Naik H </t>
  </si>
  <si>
    <t>051-17-000017</t>
  </si>
  <si>
    <t>Improvements to the Roads and drains in RR Layout Block  1 in Vijinapura Ward No  51</t>
  </si>
  <si>
    <t xml:space="preserve">Sri Naveen D R </t>
  </si>
  <si>
    <t>051-18-000019</t>
  </si>
  <si>
    <t>Improvements to the Roads and Drain in Lakshmanmurthi nagara and Samudaya bhavana Building   in Vijinapura  ward No.51..</t>
  </si>
  <si>
    <t>Sri. M Venkatachalapathi,</t>
  </si>
  <si>
    <t>051-18-000042</t>
  </si>
  <si>
    <t xml:space="preserve">Improvements and providing of compound wall to Indira Canteen in Vijinapura ward no.51  </t>
  </si>
  <si>
    <t>051-17-000030</t>
  </si>
  <si>
    <t>Improvements of Roads and drains at Subramanya layout Cross road and surrounding area in Vijinapura ward no 51</t>
  </si>
  <si>
    <t>THAMANNA VENUGOPAL</t>
  </si>
  <si>
    <t>051-17-000026</t>
  </si>
  <si>
    <t>Improvements of roads and drains at S P Naidu layout in Vijinapura ward no 51</t>
  </si>
  <si>
    <t>051-17-000028</t>
  </si>
  <si>
    <t>Improvements of Roads and drains at Vikasa school  surrounding area in Vijinapura ward no 51</t>
  </si>
  <si>
    <t>051-17-000029</t>
  </si>
  <si>
    <t>Improvements of Roads and drains at Chandrashekara layout surrounding area in Vijinapura ward no 51</t>
  </si>
  <si>
    <t>Hanumanthaiah</t>
  </si>
  <si>
    <t>051-17-000027</t>
  </si>
  <si>
    <t>Improvements of Roads and drains at Subramanya layout main road and other surrounding area in Vijinapura ward no 51</t>
  </si>
  <si>
    <t>Nagesh.G.K</t>
  </si>
  <si>
    <t>051-17-000023</t>
  </si>
  <si>
    <t>Improvements to the Roads and Drains at Gayathri School surrounding Area in Vijinapura Ward No  51</t>
  </si>
  <si>
    <t>Sri Sri V. Govindappa (Sri Venkateshwara Civil and Electrical Works)</t>
  </si>
  <si>
    <t>051-17-000042</t>
  </si>
  <si>
    <t>Engagement of Gangman and Hiring of Tractor Tippers for cleaning and Maintenance of road side drains and other cleaning works in  works in ward no 51</t>
  </si>
  <si>
    <t>Sri. Nagesh G.K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</si>
</sst>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7"/>
  <sheetViews>
    <sheetView tabSelected="1" workbookViewId="0">
      <selection activeCell="A2" sqref="A2:XFD37"/>
    </sheetView>
  </sheetViews>
  <sheetFormatPr defaultRowHeight="12.75" x14ac:dyDescent="0.2"/>
  <cols>
    <col min="1" max="1" width="5.42578125" style="9" bestFit="1" customWidth="1"/>
    <col min="2" max="2" width="9.140625" style="9"/>
    <col min="3" max="3" width="9.5703125" style="9" bestFit="1" customWidth="1"/>
    <col min="4" max="4" width="9.140625" style="9"/>
    <col min="5" max="8" width="9.140625" style="10"/>
    <col min="9" max="9" width="9.140625" style="9"/>
    <col min="10" max="10" width="9.140625" style="8"/>
    <col min="11" max="20" width="9.140625" style="9"/>
    <col min="21" max="23" width="9.140625" style="11"/>
    <col min="24" max="26" width="9.140625" style="9"/>
    <col min="27" max="27" width="9.140625" style="8"/>
    <col min="28" max="28" width="9.140625" style="9"/>
    <col min="29" max="29" width="9.140625" style="8"/>
    <col min="30" max="30" width="9.140625" style="9"/>
    <col min="31" max="31" width="9.140625" style="8"/>
    <col min="32" max="33" width="9.140625" style="9"/>
    <col min="34" max="16384" width="9.140625" style="8"/>
  </cols>
  <sheetData>
    <row r="1" spans="1:33" s="3" customFormat="1" ht="26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33" x14ac:dyDescent="0.2">
      <c r="A2" s="12">
        <v>53</v>
      </c>
      <c r="B2" s="13" t="s">
        <v>47</v>
      </c>
      <c r="C2" s="13">
        <v>43194</v>
      </c>
      <c r="D2" s="5">
        <v>51</v>
      </c>
      <c r="E2" s="6" t="s">
        <v>53</v>
      </c>
      <c r="F2" s="5" t="s">
        <v>54</v>
      </c>
      <c r="G2" s="6" t="s">
        <v>55</v>
      </c>
      <c r="H2" s="5" t="str">
        <f>"000215"</f>
        <v>000215</v>
      </c>
      <c r="I2" s="4">
        <v>43180</v>
      </c>
      <c r="J2" s="5" t="str">
        <f>"000075"</f>
        <v>000075</v>
      </c>
      <c r="K2" s="4">
        <v>43182</v>
      </c>
      <c r="L2" s="5" t="str">
        <f>"000260"</f>
        <v>000260</v>
      </c>
      <c r="M2" s="4">
        <v>43182</v>
      </c>
      <c r="N2" s="5">
        <v>18</v>
      </c>
      <c r="O2" s="5" t="str">
        <f>"000161"</f>
        <v>000161</v>
      </c>
      <c r="P2" s="4">
        <v>43193</v>
      </c>
      <c r="Q2" s="7">
        <v>54.125030000000002</v>
      </c>
      <c r="R2" s="7">
        <v>2.00305</v>
      </c>
      <c r="S2" s="7">
        <v>52.121980000000001</v>
      </c>
      <c r="T2" s="5">
        <v>2</v>
      </c>
      <c r="U2" s="4">
        <v>43194</v>
      </c>
      <c r="V2" s="5">
        <v>9448446520</v>
      </c>
      <c r="W2" s="6" t="s">
        <v>56</v>
      </c>
      <c r="X2" s="5" t="s">
        <v>46</v>
      </c>
      <c r="Y2" s="6" t="s">
        <v>45</v>
      </c>
      <c r="Z2" s="5" t="s">
        <v>57</v>
      </c>
      <c r="AA2" s="6" t="s">
        <v>58</v>
      </c>
      <c r="AB2" s="7">
        <v>0.54125030000000007</v>
      </c>
      <c r="AD2" s="8"/>
      <c r="AF2" s="8"/>
      <c r="AG2" s="8"/>
    </row>
    <row r="3" spans="1:33" x14ac:dyDescent="0.2">
      <c r="A3" s="12">
        <v>296</v>
      </c>
      <c r="B3" s="13" t="s">
        <v>47</v>
      </c>
      <c r="C3" s="13">
        <v>43199</v>
      </c>
      <c r="D3" s="5">
        <v>51</v>
      </c>
      <c r="E3" s="6" t="s">
        <v>53</v>
      </c>
      <c r="F3" s="5" t="s">
        <v>59</v>
      </c>
      <c r="G3" s="6" t="s">
        <v>60</v>
      </c>
      <c r="H3" s="5" t="str">
        <f>"000222"</f>
        <v>000222</v>
      </c>
      <c r="I3" s="4">
        <v>43183</v>
      </c>
      <c r="J3" s="5" t="str">
        <f>""</f>
        <v/>
      </c>
      <c r="K3" s="4"/>
      <c r="L3" s="5" t="str">
        <f>""</f>
        <v/>
      </c>
      <c r="M3" s="4"/>
      <c r="N3" s="5">
        <v>18</v>
      </c>
      <c r="O3" s="5" t="str">
        <f>""</f>
        <v/>
      </c>
      <c r="P3" s="4"/>
      <c r="Q3" s="7">
        <v>49.654350000000001</v>
      </c>
      <c r="R3" s="7">
        <v>1.65673</v>
      </c>
      <c r="S3" s="7">
        <v>47.997619999999998</v>
      </c>
      <c r="T3" s="5">
        <v>8</v>
      </c>
      <c r="U3" s="4">
        <v>43199</v>
      </c>
      <c r="V3" s="5">
        <v>9448124759</v>
      </c>
      <c r="W3" s="6" t="s">
        <v>61</v>
      </c>
      <c r="X3" s="5" t="s">
        <v>46</v>
      </c>
      <c r="Y3" s="6" t="s">
        <v>45</v>
      </c>
      <c r="Z3" s="5" t="s">
        <v>57</v>
      </c>
      <c r="AA3" s="6" t="s">
        <v>58</v>
      </c>
      <c r="AB3" s="7">
        <v>0.49654350000000003</v>
      </c>
      <c r="AD3" s="8"/>
      <c r="AF3" s="8"/>
      <c r="AG3" s="8"/>
    </row>
    <row r="4" spans="1:33" x14ac:dyDescent="0.2">
      <c r="A4" s="12">
        <v>297</v>
      </c>
      <c r="B4" s="13" t="s">
        <v>47</v>
      </c>
      <c r="C4" s="13">
        <v>43199</v>
      </c>
      <c r="D4" s="5">
        <v>51</v>
      </c>
      <c r="E4" s="6" t="s">
        <v>53</v>
      </c>
      <c r="F4" s="5" t="s">
        <v>62</v>
      </c>
      <c r="G4" s="6" t="s">
        <v>63</v>
      </c>
      <c r="H4" s="5" t="str">
        <f>"000221"</f>
        <v>000221</v>
      </c>
      <c r="I4" s="4">
        <v>43183</v>
      </c>
      <c r="J4" s="5" t="str">
        <f>""</f>
        <v/>
      </c>
      <c r="K4" s="4"/>
      <c r="L4" s="5" t="str">
        <f>""</f>
        <v/>
      </c>
      <c r="M4" s="4"/>
      <c r="N4" s="5">
        <v>18</v>
      </c>
      <c r="O4" s="5" t="str">
        <f>""</f>
        <v/>
      </c>
      <c r="P4" s="4"/>
      <c r="Q4" s="7">
        <v>54.478949999999998</v>
      </c>
      <c r="R4" s="7">
        <v>1.8639600000000001</v>
      </c>
      <c r="S4" s="7">
        <v>52.614989999999999</v>
      </c>
      <c r="T4" s="5">
        <v>8</v>
      </c>
      <c r="U4" s="4">
        <v>43199</v>
      </c>
      <c r="V4" s="5">
        <v>9448124759</v>
      </c>
      <c r="W4" s="6" t="s">
        <v>61</v>
      </c>
      <c r="X4" s="5" t="s">
        <v>46</v>
      </c>
      <c r="Y4" s="6" t="s">
        <v>45</v>
      </c>
      <c r="Z4" s="5" t="s">
        <v>57</v>
      </c>
      <c r="AA4" s="6" t="s">
        <v>58</v>
      </c>
      <c r="AB4" s="7">
        <v>0.54478949999999993</v>
      </c>
      <c r="AD4" s="8"/>
      <c r="AF4" s="8"/>
      <c r="AG4" s="8"/>
    </row>
    <row r="5" spans="1:33" x14ac:dyDescent="0.2">
      <c r="A5" s="12">
        <v>298</v>
      </c>
      <c r="B5" s="13" t="s">
        <v>47</v>
      </c>
      <c r="C5" s="13">
        <v>43199</v>
      </c>
      <c r="D5" s="5">
        <v>51</v>
      </c>
      <c r="E5" s="6" t="s">
        <v>53</v>
      </c>
      <c r="F5" s="5" t="s">
        <v>64</v>
      </c>
      <c r="G5" s="6" t="s">
        <v>65</v>
      </c>
      <c r="H5" s="5" t="str">
        <f>"000226"</f>
        <v>000226</v>
      </c>
      <c r="I5" s="4">
        <v>43184</v>
      </c>
      <c r="J5" s="5" t="str">
        <f>"000083"</f>
        <v>000083</v>
      </c>
      <c r="K5" s="4">
        <v>43185</v>
      </c>
      <c r="L5" s="5" t="str">
        <f>"000269"</f>
        <v>000269</v>
      </c>
      <c r="M5" s="4">
        <v>43185</v>
      </c>
      <c r="N5" s="5">
        <v>18</v>
      </c>
      <c r="O5" s="5" t="str">
        <f>"000369"</f>
        <v>000369</v>
      </c>
      <c r="P5" s="4">
        <v>43196</v>
      </c>
      <c r="Q5" s="7">
        <v>33.089109999999998</v>
      </c>
      <c r="R5" s="7">
        <v>1.08795</v>
      </c>
      <c r="S5" s="7">
        <v>32.001159999999999</v>
      </c>
      <c r="T5" s="5">
        <v>8</v>
      </c>
      <c r="U5" s="4">
        <v>43199</v>
      </c>
      <c r="V5" s="5">
        <v>9686722999</v>
      </c>
      <c r="W5" s="6" t="s">
        <v>66</v>
      </c>
      <c r="X5" s="5" t="s">
        <v>46</v>
      </c>
      <c r="Y5" s="6" t="s">
        <v>45</v>
      </c>
      <c r="Z5" s="5" t="s">
        <v>57</v>
      </c>
      <c r="AA5" s="6" t="s">
        <v>58</v>
      </c>
      <c r="AB5" s="7">
        <v>0.33089109999999999</v>
      </c>
      <c r="AD5" s="8"/>
      <c r="AF5" s="8"/>
      <c r="AG5" s="8"/>
    </row>
    <row r="6" spans="1:33" x14ac:dyDescent="0.2">
      <c r="A6" s="12">
        <v>299</v>
      </c>
      <c r="B6" s="13" t="s">
        <v>47</v>
      </c>
      <c r="C6" s="13">
        <v>43199</v>
      </c>
      <c r="D6" s="5">
        <v>51</v>
      </c>
      <c r="E6" s="6" t="s">
        <v>53</v>
      </c>
      <c r="F6" s="5" t="s">
        <v>67</v>
      </c>
      <c r="G6" s="6" t="s">
        <v>68</v>
      </c>
      <c r="H6" s="5" t="str">
        <f>"000227"</f>
        <v>000227</v>
      </c>
      <c r="I6" s="4">
        <v>43184</v>
      </c>
      <c r="J6" s="5" t="str">
        <f>""</f>
        <v/>
      </c>
      <c r="K6" s="4"/>
      <c r="L6" s="5" t="str">
        <f>""</f>
        <v/>
      </c>
      <c r="M6" s="4"/>
      <c r="N6" s="5">
        <v>18</v>
      </c>
      <c r="O6" s="5" t="str">
        <f>""</f>
        <v/>
      </c>
      <c r="P6" s="4"/>
      <c r="Q6" s="7">
        <v>53.599850000000004</v>
      </c>
      <c r="R6" s="7">
        <v>1.8869899999999999</v>
      </c>
      <c r="S6" s="7">
        <v>51.712859999999999</v>
      </c>
      <c r="T6" s="5">
        <v>8</v>
      </c>
      <c r="U6" s="4">
        <v>43199</v>
      </c>
      <c r="V6" s="5">
        <v>9686722999</v>
      </c>
      <c r="W6" s="6" t="s">
        <v>66</v>
      </c>
      <c r="X6" s="5" t="s">
        <v>46</v>
      </c>
      <c r="Y6" s="6" t="s">
        <v>45</v>
      </c>
      <c r="Z6" s="5" t="s">
        <v>57</v>
      </c>
      <c r="AA6" s="6" t="s">
        <v>58</v>
      </c>
      <c r="AB6" s="7">
        <v>0.53599850000000004</v>
      </c>
      <c r="AD6" s="8"/>
      <c r="AF6" s="8"/>
      <c r="AG6" s="8"/>
    </row>
    <row r="7" spans="1:33" x14ac:dyDescent="0.2">
      <c r="A7" s="12">
        <v>300</v>
      </c>
      <c r="B7" s="13" t="s">
        <v>47</v>
      </c>
      <c r="C7" s="13">
        <v>43199</v>
      </c>
      <c r="D7" s="5">
        <v>51</v>
      </c>
      <c r="E7" s="6" t="s">
        <v>53</v>
      </c>
      <c r="F7" s="5" t="s">
        <v>69</v>
      </c>
      <c r="G7" s="6" t="s">
        <v>70</v>
      </c>
      <c r="H7" s="5" t="str">
        <f>"000223"</f>
        <v>000223</v>
      </c>
      <c r="I7" s="4">
        <v>43184</v>
      </c>
      <c r="J7" s="5" t="str">
        <f>"000080"</f>
        <v>000080</v>
      </c>
      <c r="K7" s="4">
        <v>43185</v>
      </c>
      <c r="L7" s="5" t="str">
        <f>"000266"</f>
        <v>000266</v>
      </c>
      <c r="M7" s="4">
        <v>43185</v>
      </c>
      <c r="N7" s="5">
        <v>18</v>
      </c>
      <c r="O7" s="5" t="str">
        <f>"000371"</f>
        <v>000371</v>
      </c>
      <c r="P7" s="4">
        <v>43196</v>
      </c>
      <c r="Q7" s="7">
        <v>54.071390000000001</v>
      </c>
      <c r="R7" s="7">
        <v>2.0038900000000002</v>
      </c>
      <c r="S7" s="7">
        <v>52.067500000000003</v>
      </c>
      <c r="T7" s="5">
        <v>8</v>
      </c>
      <c r="U7" s="4">
        <v>43199</v>
      </c>
      <c r="V7" s="5">
        <v>9686722999</v>
      </c>
      <c r="W7" s="6" t="s">
        <v>71</v>
      </c>
      <c r="X7" s="5" t="s">
        <v>46</v>
      </c>
      <c r="Y7" s="6" t="s">
        <v>45</v>
      </c>
      <c r="Z7" s="5" t="s">
        <v>57</v>
      </c>
      <c r="AA7" s="6" t="s">
        <v>58</v>
      </c>
      <c r="AB7" s="7">
        <v>0.54071389999999997</v>
      </c>
      <c r="AD7" s="8"/>
      <c r="AF7" s="8"/>
      <c r="AG7" s="8"/>
    </row>
    <row r="8" spans="1:33" x14ac:dyDescent="0.2">
      <c r="A8" s="12">
        <v>301</v>
      </c>
      <c r="B8" s="13" t="s">
        <v>47</v>
      </c>
      <c r="C8" s="13">
        <v>43199</v>
      </c>
      <c r="D8" s="5">
        <v>51</v>
      </c>
      <c r="E8" s="6" t="s">
        <v>53</v>
      </c>
      <c r="F8" s="5" t="s">
        <v>72</v>
      </c>
      <c r="G8" s="6" t="s">
        <v>73</v>
      </c>
      <c r="H8" s="5" t="str">
        <f>"000231"</f>
        <v>000231</v>
      </c>
      <c r="I8" s="4">
        <v>43187</v>
      </c>
      <c r="J8" s="5" t="str">
        <f>"000089"</f>
        <v>000089</v>
      </c>
      <c r="K8" s="4">
        <v>43187</v>
      </c>
      <c r="L8" s="5" t="str">
        <f>"000275"</f>
        <v>000275</v>
      </c>
      <c r="M8" s="4">
        <v>43187</v>
      </c>
      <c r="N8" s="5">
        <v>18</v>
      </c>
      <c r="O8" s="5" t="str">
        <f>"000376"</f>
        <v>000376</v>
      </c>
      <c r="P8" s="4">
        <v>43196</v>
      </c>
      <c r="Q8" s="7">
        <v>48.630850000000002</v>
      </c>
      <c r="R8" s="7">
        <v>1.7326900000000001</v>
      </c>
      <c r="S8" s="7">
        <v>46.898159999999997</v>
      </c>
      <c r="T8" s="5">
        <v>8</v>
      </c>
      <c r="U8" s="4">
        <v>43199</v>
      </c>
      <c r="V8" s="5">
        <v>9901162809</v>
      </c>
      <c r="W8" s="6" t="s">
        <v>74</v>
      </c>
      <c r="X8" s="5" t="s">
        <v>46</v>
      </c>
      <c r="Y8" s="6" t="s">
        <v>45</v>
      </c>
      <c r="Z8" s="5" t="s">
        <v>57</v>
      </c>
      <c r="AA8" s="6" t="s">
        <v>58</v>
      </c>
      <c r="AB8" s="7">
        <v>0.48630850000000003</v>
      </c>
      <c r="AD8" s="8"/>
      <c r="AF8" s="8"/>
      <c r="AG8" s="8"/>
    </row>
    <row r="9" spans="1:33" x14ac:dyDescent="0.2">
      <c r="A9" s="12">
        <v>515</v>
      </c>
      <c r="B9" s="13" t="s">
        <v>47</v>
      </c>
      <c r="C9" s="13">
        <v>43203</v>
      </c>
      <c r="D9" s="5">
        <v>51</v>
      </c>
      <c r="E9" s="6" t="s">
        <v>53</v>
      </c>
      <c r="F9" s="5" t="s">
        <v>75</v>
      </c>
      <c r="G9" s="6" t="s">
        <v>76</v>
      </c>
      <c r="H9" s="5" t="str">
        <f>"000225"</f>
        <v>000225</v>
      </c>
      <c r="I9" s="4">
        <v>43184</v>
      </c>
      <c r="J9" s="5" t="str">
        <f>"000082"</f>
        <v>000082</v>
      </c>
      <c r="K9" s="4">
        <v>43185</v>
      </c>
      <c r="L9" s="5" t="str">
        <f>"000268"</f>
        <v>000268</v>
      </c>
      <c r="M9" s="4">
        <v>43185</v>
      </c>
      <c r="N9" s="5">
        <v>18</v>
      </c>
      <c r="O9" s="5" t="str">
        <f>"000483"</f>
        <v>000483</v>
      </c>
      <c r="P9" s="4">
        <v>43201</v>
      </c>
      <c r="Q9" s="7">
        <v>54.035400000000003</v>
      </c>
      <c r="R9" s="7">
        <v>1.9423699999999999</v>
      </c>
      <c r="S9" s="7">
        <v>52.093029999999999</v>
      </c>
      <c r="T9" s="5">
        <v>16</v>
      </c>
      <c r="U9" s="4">
        <v>43203</v>
      </c>
      <c r="V9" s="5">
        <v>9686722999</v>
      </c>
      <c r="W9" s="6" t="s">
        <v>77</v>
      </c>
      <c r="X9" s="5" t="s">
        <v>46</v>
      </c>
      <c r="Y9" s="6" t="s">
        <v>45</v>
      </c>
      <c r="Z9" s="5" t="s">
        <v>57</v>
      </c>
      <c r="AA9" s="6" t="s">
        <v>58</v>
      </c>
      <c r="AB9" s="7">
        <v>0.540354</v>
      </c>
      <c r="AD9" s="8"/>
      <c r="AF9" s="8"/>
      <c r="AG9" s="8"/>
    </row>
    <row r="10" spans="1:33" x14ac:dyDescent="0.2">
      <c r="A10" s="12">
        <v>516</v>
      </c>
      <c r="B10" s="13" t="s">
        <v>47</v>
      </c>
      <c r="C10" s="13">
        <v>43203</v>
      </c>
      <c r="D10" s="5">
        <v>51</v>
      </c>
      <c r="E10" s="6" t="s">
        <v>53</v>
      </c>
      <c r="F10" s="5" t="s">
        <v>78</v>
      </c>
      <c r="G10" s="6" t="s">
        <v>79</v>
      </c>
      <c r="H10" s="5" t="str">
        <f>"000018"</f>
        <v>000018</v>
      </c>
      <c r="I10" s="4">
        <v>43196</v>
      </c>
      <c r="J10" s="5" t="str">
        <f>""</f>
        <v/>
      </c>
      <c r="K10" s="4"/>
      <c r="L10" s="5" t="str">
        <f>""</f>
        <v/>
      </c>
      <c r="M10" s="4"/>
      <c r="N10" s="5">
        <v>18</v>
      </c>
      <c r="O10" s="5" t="str">
        <f>""</f>
        <v/>
      </c>
      <c r="P10" s="4"/>
      <c r="Q10" s="7">
        <v>54.624290000000002</v>
      </c>
      <c r="R10" s="7">
        <v>1.91571</v>
      </c>
      <c r="S10" s="7">
        <v>52.708579999999998</v>
      </c>
      <c r="T10" s="5">
        <v>16</v>
      </c>
      <c r="U10" s="4">
        <v>43203</v>
      </c>
      <c r="V10" s="5">
        <v>9743573259</v>
      </c>
      <c r="W10" s="6" t="s">
        <v>80</v>
      </c>
      <c r="X10" s="5" t="s">
        <v>46</v>
      </c>
      <c r="Y10" s="6" t="s">
        <v>45</v>
      </c>
      <c r="Z10" s="5" t="s">
        <v>57</v>
      </c>
      <c r="AA10" s="6" t="s">
        <v>58</v>
      </c>
      <c r="AB10" s="7">
        <v>0.54624289999999998</v>
      </c>
      <c r="AD10" s="8"/>
      <c r="AF10" s="8"/>
      <c r="AG10" s="8"/>
    </row>
    <row r="11" spans="1:33" x14ac:dyDescent="0.2">
      <c r="A11" s="12">
        <v>517</v>
      </c>
      <c r="B11" s="13" t="s">
        <v>47</v>
      </c>
      <c r="C11" s="13">
        <v>43203</v>
      </c>
      <c r="D11" s="5">
        <v>51</v>
      </c>
      <c r="E11" s="6" t="s">
        <v>53</v>
      </c>
      <c r="F11" s="5" t="s">
        <v>81</v>
      </c>
      <c r="G11" s="6" t="s">
        <v>82</v>
      </c>
      <c r="H11" s="5" t="str">
        <f>"000019"</f>
        <v>000019</v>
      </c>
      <c r="I11" s="4">
        <v>43196</v>
      </c>
      <c r="J11" s="5" t="str">
        <f>"000016"</f>
        <v>000016</v>
      </c>
      <c r="K11" s="4">
        <v>43196</v>
      </c>
      <c r="L11" s="5" t="str">
        <f>"000023"</f>
        <v>000023</v>
      </c>
      <c r="M11" s="4">
        <v>43196</v>
      </c>
      <c r="N11" s="5">
        <v>18</v>
      </c>
      <c r="O11" s="5" t="str">
        <f>"000495"</f>
        <v>000495</v>
      </c>
      <c r="P11" s="4">
        <v>43202</v>
      </c>
      <c r="Q11" s="7">
        <v>49.879089999999998</v>
      </c>
      <c r="R11" s="7">
        <v>1.79071</v>
      </c>
      <c r="S11" s="7">
        <v>48.088380000000001</v>
      </c>
      <c r="T11" s="5">
        <v>16</v>
      </c>
      <c r="U11" s="4">
        <v>43203</v>
      </c>
      <c r="V11" s="5">
        <v>9743573259</v>
      </c>
      <c r="W11" s="6" t="s">
        <v>80</v>
      </c>
      <c r="X11" s="5" t="s">
        <v>46</v>
      </c>
      <c r="Y11" s="6" t="s">
        <v>45</v>
      </c>
      <c r="Z11" s="5" t="s">
        <v>57</v>
      </c>
      <c r="AA11" s="6" t="s">
        <v>58</v>
      </c>
      <c r="AB11" s="7">
        <v>0.49879089999999998</v>
      </c>
      <c r="AD11" s="8"/>
      <c r="AF11" s="8"/>
      <c r="AG11" s="8"/>
    </row>
    <row r="12" spans="1:33" x14ac:dyDescent="0.2">
      <c r="A12" s="12">
        <v>1111</v>
      </c>
      <c r="B12" s="13" t="s">
        <v>35</v>
      </c>
      <c r="C12" s="13">
        <v>43230</v>
      </c>
      <c r="D12" s="5">
        <v>51</v>
      </c>
      <c r="E12" s="6" t="s">
        <v>53</v>
      </c>
      <c r="F12" s="5" t="s">
        <v>83</v>
      </c>
      <c r="G12" s="6" t="s">
        <v>84</v>
      </c>
      <c r="H12" s="5" t="str">
        <f>"000030"</f>
        <v>000030</v>
      </c>
      <c r="I12" s="4">
        <v>42724</v>
      </c>
      <c r="J12" s="5" t="str">
        <f>"000128"</f>
        <v>000128</v>
      </c>
      <c r="K12" s="4">
        <v>42780</v>
      </c>
      <c r="L12" s="5" t="str">
        <f>"000098"</f>
        <v>000098</v>
      </c>
      <c r="M12" s="4">
        <v>42783</v>
      </c>
      <c r="N12" s="5">
        <v>17</v>
      </c>
      <c r="O12" s="5" t="str">
        <f>"001327"</f>
        <v>001327</v>
      </c>
      <c r="P12" s="4">
        <v>43229</v>
      </c>
      <c r="Q12" s="7">
        <v>9.6922300000000003</v>
      </c>
      <c r="R12" s="7">
        <v>1.0952200000000001</v>
      </c>
      <c r="S12" s="7">
        <v>8.5970099999999992</v>
      </c>
      <c r="T12" s="5">
        <v>48</v>
      </c>
      <c r="U12" s="4">
        <v>43230</v>
      </c>
      <c r="V12" s="5">
        <v>9980796171</v>
      </c>
      <c r="W12" s="6" t="s">
        <v>85</v>
      </c>
      <c r="X12" s="5" t="s">
        <v>52</v>
      </c>
      <c r="Y12" s="6" t="s">
        <v>51</v>
      </c>
      <c r="Z12" s="5" t="s">
        <v>86</v>
      </c>
      <c r="AA12" s="6" t="s">
        <v>87</v>
      </c>
      <c r="AB12" s="7">
        <v>9.6922300000000003E-2</v>
      </c>
      <c r="AD12" s="8"/>
      <c r="AF12" s="8"/>
      <c r="AG12" s="8"/>
    </row>
    <row r="13" spans="1:33" x14ac:dyDescent="0.2">
      <c r="A13" s="12">
        <v>1174</v>
      </c>
      <c r="B13" s="13" t="s">
        <v>35</v>
      </c>
      <c r="C13" s="13">
        <v>43238</v>
      </c>
      <c r="D13" s="5">
        <v>51</v>
      </c>
      <c r="E13" s="6" t="s">
        <v>53</v>
      </c>
      <c r="F13" s="5" t="s">
        <v>88</v>
      </c>
      <c r="G13" s="6" t="s">
        <v>89</v>
      </c>
      <c r="H13" s="5" t="str">
        <f>"000204"</f>
        <v>000204</v>
      </c>
      <c r="I13" s="4">
        <v>42023</v>
      </c>
      <c r="J13" s="5" t="str">
        <f>"000118"</f>
        <v>000118</v>
      </c>
      <c r="K13" s="4">
        <v>42588</v>
      </c>
      <c r="L13" s="5" t="str">
        <f>"000092"</f>
        <v>000092</v>
      </c>
      <c r="M13" s="4">
        <v>42612</v>
      </c>
      <c r="N13" s="5">
        <v>15</v>
      </c>
      <c r="O13" s="5" t="str">
        <f>"001448"</f>
        <v>001448</v>
      </c>
      <c r="P13" s="4">
        <v>43236</v>
      </c>
      <c r="Q13" s="7">
        <v>9.8194499999999998</v>
      </c>
      <c r="R13" s="7">
        <v>1.28637</v>
      </c>
      <c r="S13" s="7">
        <v>8.53308</v>
      </c>
      <c r="T13" s="5">
        <v>52</v>
      </c>
      <c r="U13" s="4">
        <v>43238</v>
      </c>
      <c r="V13" s="5">
        <v>9343722590</v>
      </c>
      <c r="W13" s="6" t="s">
        <v>90</v>
      </c>
      <c r="X13" s="5" t="s">
        <v>29</v>
      </c>
      <c r="Y13" s="6" t="s">
        <v>30</v>
      </c>
      <c r="Z13" s="5" t="s">
        <v>57</v>
      </c>
      <c r="AA13" s="6" t="s">
        <v>58</v>
      </c>
      <c r="AB13" s="7">
        <v>9.8194500000000004E-2</v>
      </c>
      <c r="AD13" s="8"/>
      <c r="AF13" s="8"/>
      <c r="AG13" s="8"/>
    </row>
    <row r="14" spans="1:33" x14ac:dyDescent="0.2">
      <c r="A14" s="12">
        <v>1175</v>
      </c>
      <c r="B14" s="13" t="s">
        <v>35</v>
      </c>
      <c r="C14" s="13">
        <v>43238</v>
      </c>
      <c r="D14" s="5">
        <v>51</v>
      </c>
      <c r="E14" s="6" t="s">
        <v>53</v>
      </c>
      <c r="F14" s="5" t="s">
        <v>91</v>
      </c>
      <c r="G14" s="6" t="s">
        <v>92</v>
      </c>
      <c r="H14" s="5" t="str">
        <f>"000247"</f>
        <v>000247</v>
      </c>
      <c r="I14" s="4">
        <v>42051</v>
      </c>
      <c r="J14" s="5" t="str">
        <f>"000117"</f>
        <v>000117</v>
      </c>
      <c r="K14" s="4">
        <v>42588</v>
      </c>
      <c r="L14" s="5" t="str">
        <f>"000093"</f>
        <v>000093</v>
      </c>
      <c r="M14" s="4">
        <v>42612</v>
      </c>
      <c r="N14" s="5">
        <v>15</v>
      </c>
      <c r="O14" s="5" t="str">
        <f>"001449"</f>
        <v>001449</v>
      </c>
      <c r="P14" s="4">
        <v>43236</v>
      </c>
      <c r="Q14" s="7">
        <v>29.7715</v>
      </c>
      <c r="R14" s="7">
        <v>4.0235599999999998</v>
      </c>
      <c r="S14" s="7">
        <v>25.74794</v>
      </c>
      <c r="T14" s="5">
        <v>52</v>
      </c>
      <c r="U14" s="4">
        <v>43238</v>
      </c>
      <c r="V14" s="5">
        <v>9343722590</v>
      </c>
      <c r="W14" s="6" t="s">
        <v>93</v>
      </c>
      <c r="X14" s="5" t="s">
        <v>29</v>
      </c>
      <c r="Y14" s="6" t="s">
        <v>30</v>
      </c>
      <c r="Z14" s="5" t="s">
        <v>57</v>
      </c>
      <c r="AA14" s="6" t="s">
        <v>58</v>
      </c>
      <c r="AB14" s="7">
        <v>0.29771500000000001</v>
      </c>
      <c r="AD14" s="8"/>
      <c r="AF14" s="8"/>
      <c r="AG14" s="8"/>
    </row>
    <row r="15" spans="1:33" x14ac:dyDescent="0.2">
      <c r="A15" s="12">
        <v>1775</v>
      </c>
      <c r="B15" s="13" t="s">
        <v>34</v>
      </c>
      <c r="C15" s="13">
        <v>43257</v>
      </c>
      <c r="D15" s="5">
        <v>51</v>
      </c>
      <c r="E15" s="6" t="s">
        <v>53</v>
      </c>
      <c r="F15" s="5" t="s">
        <v>94</v>
      </c>
      <c r="G15" s="6" t="s">
        <v>95</v>
      </c>
      <c r="H15" s="5" t="str">
        <f>"000257"</f>
        <v>000257</v>
      </c>
      <c r="I15" s="4">
        <v>42444</v>
      </c>
      <c r="J15" s="5" t="str">
        <f>"000146"</f>
        <v>000146</v>
      </c>
      <c r="K15" s="4">
        <v>42642</v>
      </c>
      <c r="L15" s="5" t="str">
        <f>"000162"</f>
        <v>000162</v>
      </c>
      <c r="M15" s="4">
        <v>42642</v>
      </c>
      <c r="N15" s="5">
        <v>16</v>
      </c>
      <c r="O15" s="5" t="str">
        <f>"002617"</f>
        <v>002617</v>
      </c>
      <c r="P15" s="4">
        <v>43269</v>
      </c>
      <c r="Q15" s="7">
        <v>5.59978</v>
      </c>
      <c r="R15" s="7">
        <v>0.62365999999999999</v>
      </c>
      <c r="S15" s="7">
        <v>4.9761199999999999</v>
      </c>
      <c r="T15" s="5">
        <v>71</v>
      </c>
      <c r="U15" s="4">
        <v>43257</v>
      </c>
      <c r="V15" s="5">
        <v>9845031197</v>
      </c>
      <c r="W15" s="6" t="s">
        <v>96</v>
      </c>
      <c r="X15" s="5" t="s">
        <v>29</v>
      </c>
      <c r="Y15" s="6" t="s">
        <v>30</v>
      </c>
      <c r="Z15" s="5" t="s">
        <v>57</v>
      </c>
      <c r="AA15" s="6" t="s">
        <v>58</v>
      </c>
      <c r="AB15" s="7">
        <v>5.59978E-2</v>
      </c>
      <c r="AD15" s="8"/>
      <c r="AF15" s="8"/>
      <c r="AG15" s="8"/>
    </row>
    <row r="16" spans="1:33" x14ac:dyDescent="0.2">
      <c r="A16" s="12">
        <v>1776</v>
      </c>
      <c r="B16" s="13" t="s">
        <v>34</v>
      </c>
      <c r="C16" s="13">
        <v>43257</v>
      </c>
      <c r="D16" s="5">
        <v>51</v>
      </c>
      <c r="E16" s="6" t="s">
        <v>53</v>
      </c>
      <c r="F16" s="5" t="s">
        <v>97</v>
      </c>
      <c r="G16" s="6" t="s">
        <v>98</v>
      </c>
      <c r="H16" s="5" t="str">
        <f>"000224"</f>
        <v>000224</v>
      </c>
      <c r="I16" s="4">
        <v>43184</v>
      </c>
      <c r="J16" s="5" t="str">
        <f>"000081"</f>
        <v>000081</v>
      </c>
      <c r="K16" s="4">
        <v>43185</v>
      </c>
      <c r="L16" s="5" t="str">
        <f>"000267"</f>
        <v>000267</v>
      </c>
      <c r="M16" s="4">
        <v>43185</v>
      </c>
      <c r="N16" s="5">
        <v>18</v>
      </c>
      <c r="O16" s="5" t="str">
        <f>"002086"</f>
        <v>002086</v>
      </c>
      <c r="P16" s="4">
        <v>43251</v>
      </c>
      <c r="Q16" s="7">
        <v>46.651800000000001</v>
      </c>
      <c r="R16" s="7">
        <v>1.81823</v>
      </c>
      <c r="S16" s="7">
        <v>44.833570000000002</v>
      </c>
      <c r="T16" s="5">
        <v>73</v>
      </c>
      <c r="U16" s="4">
        <v>43257</v>
      </c>
      <c r="V16" s="5">
        <v>9686722999</v>
      </c>
      <c r="W16" s="6" t="s">
        <v>71</v>
      </c>
      <c r="X16" s="5" t="s">
        <v>46</v>
      </c>
      <c r="Y16" s="6" t="s">
        <v>45</v>
      </c>
      <c r="Z16" s="5" t="s">
        <v>57</v>
      </c>
      <c r="AA16" s="6" t="s">
        <v>58</v>
      </c>
      <c r="AB16" s="7">
        <v>0.46651799999999999</v>
      </c>
      <c r="AD16" s="8"/>
      <c r="AF16" s="8"/>
      <c r="AG16" s="8"/>
    </row>
    <row r="17" spans="1:33" x14ac:dyDescent="0.2">
      <c r="A17" s="12">
        <v>2517</v>
      </c>
      <c r="B17" s="13" t="s">
        <v>34</v>
      </c>
      <c r="C17" s="13">
        <v>43274</v>
      </c>
      <c r="D17" s="5">
        <v>51</v>
      </c>
      <c r="E17" s="6" t="s">
        <v>53</v>
      </c>
      <c r="F17" s="5" t="s">
        <v>94</v>
      </c>
      <c r="G17" s="6" t="s">
        <v>95</v>
      </c>
      <c r="H17" s="5" t="str">
        <f>"000257"</f>
        <v>000257</v>
      </c>
      <c r="I17" s="4">
        <v>42444</v>
      </c>
      <c r="J17" s="5" t="str">
        <f>"000146"</f>
        <v>000146</v>
      </c>
      <c r="K17" s="4">
        <v>42642</v>
      </c>
      <c r="L17" s="5" t="str">
        <f>"000162"</f>
        <v>000162</v>
      </c>
      <c r="M17" s="4">
        <v>42642</v>
      </c>
      <c r="N17" s="5">
        <v>16</v>
      </c>
      <c r="O17" s="5" t="str">
        <f>"002617"</f>
        <v>002617</v>
      </c>
      <c r="P17" s="4">
        <v>43269</v>
      </c>
      <c r="Q17" s="7">
        <v>2.0516000000000001</v>
      </c>
      <c r="R17" s="7">
        <v>0.22833999999999999</v>
      </c>
      <c r="S17" s="7">
        <v>1.8232600000000001</v>
      </c>
      <c r="T17" s="5">
        <v>99</v>
      </c>
      <c r="U17" s="4">
        <v>43274</v>
      </c>
      <c r="V17" s="5">
        <v>9845031197</v>
      </c>
      <c r="W17" s="6" t="s">
        <v>96</v>
      </c>
      <c r="X17" s="5" t="s">
        <v>29</v>
      </c>
      <c r="Y17" s="6" t="s">
        <v>30</v>
      </c>
      <c r="Z17" s="5" t="s">
        <v>57</v>
      </c>
      <c r="AA17" s="6" t="s">
        <v>58</v>
      </c>
      <c r="AB17" s="7">
        <v>2.0516E-2</v>
      </c>
      <c r="AD17" s="8"/>
      <c r="AF17" s="8"/>
      <c r="AG17" s="8"/>
    </row>
    <row r="18" spans="1:33" x14ac:dyDescent="0.2">
      <c r="A18" s="12">
        <v>2518</v>
      </c>
      <c r="B18" s="13" t="s">
        <v>34</v>
      </c>
      <c r="C18" s="13">
        <v>43274</v>
      </c>
      <c r="D18" s="5">
        <v>51</v>
      </c>
      <c r="E18" s="6" t="s">
        <v>53</v>
      </c>
      <c r="F18" s="5" t="s">
        <v>94</v>
      </c>
      <c r="G18" s="6" t="s">
        <v>95</v>
      </c>
      <c r="H18" s="5" t="str">
        <f>"000257"</f>
        <v>000257</v>
      </c>
      <c r="I18" s="4">
        <v>42444</v>
      </c>
      <c r="J18" s="5" t="str">
        <f>"000146"</f>
        <v>000146</v>
      </c>
      <c r="K18" s="4">
        <v>42642</v>
      </c>
      <c r="L18" s="5" t="str">
        <f>"000162"</f>
        <v>000162</v>
      </c>
      <c r="M18" s="4">
        <v>42642</v>
      </c>
      <c r="N18" s="5">
        <v>16</v>
      </c>
      <c r="O18" s="5" t="str">
        <f>"002617"</f>
        <v>002617</v>
      </c>
      <c r="P18" s="4">
        <v>43269</v>
      </c>
      <c r="Q18" s="7">
        <v>2.0516000000000001</v>
      </c>
      <c r="R18" s="7">
        <v>0.22833999999999999</v>
      </c>
      <c r="S18" s="7">
        <v>1.8232600000000001</v>
      </c>
      <c r="T18" s="5">
        <v>99</v>
      </c>
      <c r="U18" s="4">
        <v>43274</v>
      </c>
      <c r="V18" s="5">
        <v>9845031197</v>
      </c>
      <c r="W18" s="6" t="s">
        <v>96</v>
      </c>
      <c r="X18" s="5" t="s">
        <v>29</v>
      </c>
      <c r="Y18" s="6" t="s">
        <v>30</v>
      </c>
      <c r="Z18" s="5" t="s">
        <v>57</v>
      </c>
      <c r="AA18" s="6" t="s">
        <v>58</v>
      </c>
      <c r="AB18" s="7">
        <v>2.0516E-2</v>
      </c>
      <c r="AD18" s="8"/>
      <c r="AF18" s="8"/>
      <c r="AG18" s="8"/>
    </row>
    <row r="19" spans="1:33" x14ac:dyDescent="0.2">
      <c r="A19" s="12">
        <v>2519</v>
      </c>
      <c r="B19" s="13" t="s">
        <v>34</v>
      </c>
      <c r="C19" s="13">
        <v>43274</v>
      </c>
      <c r="D19" s="5">
        <v>51</v>
      </c>
      <c r="E19" s="6" t="s">
        <v>53</v>
      </c>
      <c r="F19" s="5" t="s">
        <v>99</v>
      </c>
      <c r="G19" s="6" t="s">
        <v>100</v>
      </c>
      <c r="H19" s="5" t="str">
        <f>"000138"</f>
        <v>000138</v>
      </c>
      <c r="I19" s="4">
        <v>42114</v>
      </c>
      <c r="J19" s="5" t="str">
        <f>"000080"</f>
        <v>000080</v>
      </c>
      <c r="K19" s="4">
        <v>42583</v>
      </c>
      <c r="L19" s="5" t="str">
        <f>"000180"</f>
        <v>000180</v>
      </c>
      <c r="M19" s="4">
        <v>42661</v>
      </c>
      <c r="N19" s="5">
        <v>15</v>
      </c>
      <c r="O19" s="5" t="str">
        <f>"002749"</f>
        <v>002749</v>
      </c>
      <c r="P19" s="4">
        <v>43271</v>
      </c>
      <c r="Q19" s="7">
        <v>38.450369999999999</v>
      </c>
      <c r="R19" s="7">
        <v>5.2588400000000002</v>
      </c>
      <c r="S19" s="7">
        <v>33.19153</v>
      </c>
      <c r="T19" s="5">
        <v>99</v>
      </c>
      <c r="U19" s="4">
        <v>43274</v>
      </c>
      <c r="V19" s="5">
        <v>9086343423</v>
      </c>
      <c r="W19" s="6" t="s">
        <v>48</v>
      </c>
      <c r="X19" s="5" t="s">
        <v>44</v>
      </c>
      <c r="Y19" s="6" t="s">
        <v>43</v>
      </c>
      <c r="Z19" s="5" t="s">
        <v>57</v>
      </c>
      <c r="AA19" s="6" t="s">
        <v>58</v>
      </c>
      <c r="AB19" s="7">
        <v>0.3845037</v>
      </c>
      <c r="AD19" s="8"/>
      <c r="AF19" s="8"/>
      <c r="AG19" s="8"/>
    </row>
    <row r="20" spans="1:33" x14ac:dyDescent="0.2">
      <c r="A20" s="12">
        <v>2520</v>
      </c>
      <c r="B20" s="13" t="s">
        <v>34</v>
      </c>
      <c r="C20" s="13">
        <v>43274</v>
      </c>
      <c r="D20" s="5">
        <v>51</v>
      </c>
      <c r="E20" s="6" t="s">
        <v>53</v>
      </c>
      <c r="F20" s="5" t="s">
        <v>101</v>
      </c>
      <c r="G20" s="6" t="s">
        <v>102</v>
      </c>
      <c r="H20" s="5" t="str">
        <f>"000016"</f>
        <v>000016</v>
      </c>
      <c r="I20" s="4">
        <v>42100</v>
      </c>
      <c r="J20" s="5" t="str">
        <f>"000079"</f>
        <v>000079</v>
      </c>
      <c r="K20" s="4">
        <v>42583</v>
      </c>
      <c r="L20" s="5" t="str">
        <f>"000179"</f>
        <v>000179</v>
      </c>
      <c r="M20" s="4">
        <v>42661</v>
      </c>
      <c r="N20" s="5">
        <v>15</v>
      </c>
      <c r="O20" s="5" t="str">
        <f>"002751"</f>
        <v>002751</v>
      </c>
      <c r="P20" s="4">
        <v>43271</v>
      </c>
      <c r="Q20" s="7">
        <v>15.51759</v>
      </c>
      <c r="R20" s="7">
        <v>2.1951000000000001</v>
      </c>
      <c r="S20" s="7">
        <v>13.32249</v>
      </c>
      <c r="T20" s="5">
        <v>99</v>
      </c>
      <c r="U20" s="4">
        <v>43274</v>
      </c>
      <c r="V20" s="5">
        <v>9086343423</v>
      </c>
      <c r="W20" s="6" t="s">
        <v>48</v>
      </c>
      <c r="X20" s="5" t="s">
        <v>50</v>
      </c>
      <c r="Y20" s="6" t="s">
        <v>49</v>
      </c>
      <c r="Z20" s="5" t="s">
        <v>57</v>
      </c>
      <c r="AA20" s="6" t="s">
        <v>58</v>
      </c>
      <c r="AB20" s="7">
        <v>0.15517590000000001</v>
      </c>
      <c r="AD20" s="8"/>
      <c r="AF20" s="8"/>
      <c r="AG20" s="8"/>
    </row>
    <row r="21" spans="1:33" x14ac:dyDescent="0.2">
      <c r="A21" s="12">
        <v>3054</v>
      </c>
      <c r="B21" s="13" t="s">
        <v>31</v>
      </c>
      <c r="C21" s="13">
        <v>43287</v>
      </c>
      <c r="D21" s="5">
        <v>51</v>
      </c>
      <c r="E21" s="6" t="s">
        <v>53</v>
      </c>
      <c r="F21" s="5" t="s">
        <v>103</v>
      </c>
      <c r="G21" s="6" t="s">
        <v>104</v>
      </c>
      <c r="H21" s="5" t="str">
        <f>"000239"</f>
        <v>000239</v>
      </c>
      <c r="I21" s="4">
        <v>42048</v>
      </c>
      <c r="J21" s="5" t="str">
        <f>"000134"</f>
        <v>000134</v>
      </c>
      <c r="K21" s="4">
        <v>42590</v>
      </c>
      <c r="L21" s="5" t="str">
        <f>"000166"</f>
        <v>000166</v>
      </c>
      <c r="M21" s="4">
        <v>42643</v>
      </c>
      <c r="N21" s="5">
        <v>15</v>
      </c>
      <c r="O21" s="5" t="str">
        <f>"003261"</f>
        <v>003261</v>
      </c>
      <c r="P21" s="4">
        <v>43283</v>
      </c>
      <c r="Q21" s="7">
        <v>39.548110000000001</v>
      </c>
      <c r="R21" s="7">
        <v>5.3869199999999999</v>
      </c>
      <c r="S21" s="7">
        <v>34.161189999999998</v>
      </c>
      <c r="T21" s="5">
        <v>113</v>
      </c>
      <c r="U21" s="4">
        <v>43287</v>
      </c>
      <c r="V21" s="5">
        <v>9343722590</v>
      </c>
      <c r="W21" s="6" t="s">
        <v>105</v>
      </c>
      <c r="X21" s="5" t="s">
        <v>29</v>
      </c>
      <c r="Y21" s="6" t="s">
        <v>30</v>
      </c>
      <c r="Z21" s="5" t="s">
        <v>57</v>
      </c>
      <c r="AA21" s="6" t="s">
        <v>58</v>
      </c>
      <c r="AB21" s="7">
        <v>0.39548110000000003</v>
      </c>
      <c r="AD21" s="8"/>
      <c r="AF21" s="8"/>
      <c r="AG21" s="8"/>
    </row>
    <row r="22" spans="1:33" x14ac:dyDescent="0.2">
      <c r="A22" s="12">
        <v>3476</v>
      </c>
      <c r="B22" s="13" t="s">
        <v>31</v>
      </c>
      <c r="C22" s="13">
        <v>43299</v>
      </c>
      <c r="D22" s="5">
        <v>51</v>
      </c>
      <c r="E22" s="6" t="s">
        <v>53</v>
      </c>
      <c r="F22" s="5" t="s">
        <v>106</v>
      </c>
      <c r="G22" s="6" t="s">
        <v>107</v>
      </c>
      <c r="H22" s="5" t="str">
        <f>"000018"</f>
        <v>000018</v>
      </c>
      <c r="I22" s="4">
        <v>42625</v>
      </c>
      <c r="J22" s="5" t="str">
        <f>"000039"</f>
        <v>000039</v>
      </c>
      <c r="K22" s="4">
        <v>43334</v>
      </c>
      <c r="L22" s="5" t="str">
        <f>"000039"</f>
        <v>000039</v>
      </c>
      <c r="M22" s="4">
        <v>43334</v>
      </c>
      <c r="N22" s="5">
        <v>16</v>
      </c>
      <c r="O22" s="5" t="str">
        <f>""</f>
        <v/>
      </c>
      <c r="P22" s="4"/>
      <c r="Q22" s="7">
        <v>2.9214500000000001</v>
      </c>
      <c r="R22" s="7">
        <v>0.29593000000000003</v>
      </c>
      <c r="S22" s="7">
        <v>2.6255199999999999</v>
      </c>
      <c r="T22" s="5">
        <v>127</v>
      </c>
      <c r="U22" s="4">
        <v>43299</v>
      </c>
      <c r="V22" s="5">
        <v>9980796171</v>
      </c>
      <c r="W22" s="6" t="s">
        <v>108</v>
      </c>
      <c r="X22" s="5" t="s">
        <v>32</v>
      </c>
      <c r="Y22" s="6" t="s">
        <v>33</v>
      </c>
      <c r="Z22" s="5" t="s">
        <v>86</v>
      </c>
      <c r="AA22" s="6" t="s">
        <v>87</v>
      </c>
      <c r="AB22" s="7">
        <v>2.9214500000000001E-2</v>
      </c>
      <c r="AD22" s="8"/>
      <c r="AF22" s="8"/>
      <c r="AG22" s="8"/>
    </row>
    <row r="23" spans="1:33" x14ac:dyDescent="0.2">
      <c r="A23" s="12">
        <v>3721</v>
      </c>
      <c r="B23" s="13" t="s">
        <v>31</v>
      </c>
      <c r="C23" s="13">
        <v>43301</v>
      </c>
      <c r="D23" s="5">
        <v>51</v>
      </c>
      <c r="E23" s="6" t="s">
        <v>53</v>
      </c>
      <c r="F23" s="5" t="s">
        <v>106</v>
      </c>
      <c r="G23" s="6" t="s">
        <v>107</v>
      </c>
      <c r="H23" s="5" t="str">
        <f>"000018"</f>
        <v>000018</v>
      </c>
      <c r="I23" s="4">
        <v>42625</v>
      </c>
      <c r="J23" s="5" t="str">
        <f>"000039"</f>
        <v>000039</v>
      </c>
      <c r="K23" s="4">
        <v>43334</v>
      </c>
      <c r="L23" s="5" t="str">
        <f>"000039"</f>
        <v>000039</v>
      </c>
      <c r="M23" s="4">
        <v>43334</v>
      </c>
      <c r="N23" s="5">
        <v>16</v>
      </c>
      <c r="O23" s="5" t="str">
        <f>""</f>
        <v/>
      </c>
      <c r="P23" s="4"/>
      <c r="Q23" s="7">
        <v>1.498</v>
      </c>
      <c r="R23" s="7">
        <v>0.19671</v>
      </c>
      <c r="S23" s="7">
        <v>1.3012900000000001</v>
      </c>
      <c r="T23" s="5">
        <v>134</v>
      </c>
      <c r="U23" s="4">
        <v>43301</v>
      </c>
      <c r="V23" s="5">
        <v>9980796171</v>
      </c>
      <c r="W23" s="6" t="s">
        <v>108</v>
      </c>
      <c r="X23" s="5" t="s">
        <v>32</v>
      </c>
      <c r="Y23" s="6" t="s">
        <v>33</v>
      </c>
      <c r="Z23" s="5" t="s">
        <v>86</v>
      </c>
      <c r="AA23" s="6" t="s">
        <v>87</v>
      </c>
      <c r="AB23" s="7">
        <v>1.498E-2</v>
      </c>
      <c r="AD23" s="8"/>
      <c r="AF23" s="8"/>
      <c r="AG23" s="8"/>
    </row>
    <row r="24" spans="1:33" x14ac:dyDescent="0.2">
      <c r="A24" s="12">
        <v>4091</v>
      </c>
      <c r="B24" s="13" t="s">
        <v>31</v>
      </c>
      <c r="C24" s="13">
        <v>43308</v>
      </c>
      <c r="D24" s="5">
        <v>51</v>
      </c>
      <c r="E24" s="6" t="s">
        <v>53</v>
      </c>
      <c r="F24" s="5" t="s">
        <v>106</v>
      </c>
      <c r="G24" s="6" t="s">
        <v>107</v>
      </c>
      <c r="H24" s="5" t="str">
        <f>"000018"</f>
        <v>000018</v>
      </c>
      <c r="I24" s="4">
        <v>42625</v>
      </c>
      <c r="J24" s="5" t="str">
        <f>"000039"</f>
        <v>000039</v>
      </c>
      <c r="K24" s="4">
        <v>43334</v>
      </c>
      <c r="L24" s="5" t="str">
        <f>"000039"</f>
        <v>000039</v>
      </c>
      <c r="M24" s="4">
        <v>43334</v>
      </c>
      <c r="N24" s="5">
        <v>16</v>
      </c>
      <c r="O24" s="5" t="str">
        <f>""</f>
        <v/>
      </c>
      <c r="P24" s="4"/>
      <c r="Q24" s="7">
        <v>8.9891199999999998</v>
      </c>
      <c r="R24" s="7">
        <v>1.1053500000000001</v>
      </c>
      <c r="S24" s="7">
        <v>7.8837700000000002</v>
      </c>
      <c r="T24" s="5">
        <v>146</v>
      </c>
      <c r="U24" s="4">
        <v>43308</v>
      </c>
      <c r="V24" s="5">
        <v>9980796171</v>
      </c>
      <c r="W24" s="6" t="s">
        <v>108</v>
      </c>
      <c r="X24" s="5" t="s">
        <v>32</v>
      </c>
      <c r="Y24" s="6" t="s">
        <v>33</v>
      </c>
      <c r="Z24" s="5" t="s">
        <v>86</v>
      </c>
      <c r="AA24" s="6" t="s">
        <v>87</v>
      </c>
      <c r="AB24" s="7">
        <v>8.9891200000000004E-2</v>
      </c>
      <c r="AD24" s="8"/>
      <c r="AF24" s="8"/>
      <c r="AG24" s="8"/>
    </row>
    <row r="25" spans="1:33" x14ac:dyDescent="0.2">
      <c r="A25" s="12">
        <v>4271</v>
      </c>
      <c r="B25" s="13" t="s">
        <v>28</v>
      </c>
      <c r="C25" s="13">
        <v>43315</v>
      </c>
      <c r="D25" s="5">
        <v>51</v>
      </c>
      <c r="E25" s="6" t="s">
        <v>53</v>
      </c>
      <c r="F25" s="5" t="s">
        <v>109</v>
      </c>
      <c r="G25" s="6" t="s">
        <v>110</v>
      </c>
      <c r="H25" s="5" t="str">
        <f>"000046"</f>
        <v>000046</v>
      </c>
      <c r="I25" s="4">
        <v>42661</v>
      </c>
      <c r="J25" s="5" t="str">
        <f>"000151"</f>
        <v>000151</v>
      </c>
      <c r="K25" s="4">
        <v>42765</v>
      </c>
      <c r="L25" s="5" t="str">
        <f>"000220"</f>
        <v>000220</v>
      </c>
      <c r="M25" s="4">
        <v>42765</v>
      </c>
      <c r="N25" s="5">
        <v>16</v>
      </c>
      <c r="O25" s="5" t="str">
        <f>"004262"</f>
        <v>004262</v>
      </c>
      <c r="P25" s="4">
        <v>43306</v>
      </c>
      <c r="Q25" s="7">
        <v>6.4905499999999998</v>
      </c>
      <c r="R25" s="7">
        <v>0.77705000000000002</v>
      </c>
      <c r="S25" s="7">
        <v>5.7134999999999998</v>
      </c>
      <c r="T25" s="5">
        <v>152</v>
      </c>
      <c r="U25" s="4">
        <v>43315</v>
      </c>
      <c r="V25" s="5">
        <v>9481544777</v>
      </c>
      <c r="W25" s="6" t="s">
        <v>111</v>
      </c>
      <c r="X25" s="5" t="s">
        <v>29</v>
      </c>
      <c r="Y25" s="6" t="s">
        <v>30</v>
      </c>
      <c r="Z25" s="5" t="s">
        <v>57</v>
      </c>
      <c r="AA25" s="6" t="s">
        <v>58</v>
      </c>
      <c r="AB25" s="7">
        <v>6.4905500000000005E-2</v>
      </c>
      <c r="AD25" s="8"/>
      <c r="AF25" s="8"/>
      <c r="AG25" s="8"/>
    </row>
    <row r="26" spans="1:33" x14ac:dyDescent="0.2">
      <c r="A26" s="12">
        <v>4776</v>
      </c>
      <c r="B26" s="13" t="s">
        <v>28</v>
      </c>
      <c r="C26" s="13">
        <v>43326</v>
      </c>
      <c r="D26" s="5">
        <v>51</v>
      </c>
      <c r="E26" s="6" t="s">
        <v>53</v>
      </c>
      <c r="F26" s="5" t="s">
        <v>112</v>
      </c>
      <c r="G26" s="6" t="s">
        <v>113</v>
      </c>
      <c r="H26" s="5" t="str">
        <f>"000285"</f>
        <v>000285</v>
      </c>
      <c r="I26" s="4">
        <v>42453</v>
      </c>
      <c r="J26" s="5" t="str">
        <f>"000168"</f>
        <v>000168</v>
      </c>
      <c r="K26" s="4">
        <v>42821</v>
      </c>
      <c r="L26" s="5" t="str">
        <f>"000303"</f>
        <v>000303</v>
      </c>
      <c r="M26" s="4">
        <v>42821</v>
      </c>
      <c r="N26" s="5">
        <v>16</v>
      </c>
      <c r="O26" s="5" t="str">
        <f>"005012"</f>
        <v>005012</v>
      </c>
      <c r="P26" s="4">
        <v>43320</v>
      </c>
      <c r="Q26" s="7">
        <v>24.4529</v>
      </c>
      <c r="R26" s="7">
        <v>3.6006100000000001</v>
      </c>
      <c r="S26" s="7">
        <v>20.85229</v>
      </c>
      <c r="T26" s="5">
        <v>170</v>
      </c>
      <c r="U26" s="4">
        <v>43326</v>
      </c>
      <c r="V26" s="5">
        <v>9343722590</v>
      </c>
      <c r="W26" s="6" t="s">
        <v>114</v>
      </c>
      <c r="X26" s="5" t="s">
        <v>29</v>
      </c>
      <c r="Y26" s="6" t="s">
        <v>30</v>
      </c>
      <c r="Z26" s="5" t="s">
        <v>57</v>
      </c>
      <c r="AA26" s="6" t="s">
        <v>58</v>
      </c>
      <c r="AB26" s="7">
        <v>0.244529</v>
      </c>
      <c r="AD26" s="8"/>
      <c r="AF26" s="8"/>
      <c r="AG26" s="8"/>
    </row>
    <row r="27" spans="1:33" x14ac:dyDescent="0.2">
      <c r="A27" s="12">
        <v>6016</v>
      </c>
      <c r="B27" s="13" t="s">
        <v>42</v>
      </c>
      <c r="C27" s="13">
        <v>43385</v>
      </c>
      <c r="D27" s="5">
        <v>51</v>
      </c>
      <c r="E27" s="6" t="s">
        <v>53</v>
      </c>
      <c r="F27" s="5" t="s">
        <v>115</v>
      </c>
      <c r="G27" s="6" t="s">
        <v>116</v>
      </c>
      <c r="H27" s="5" t="str">
        <f>"000037"</f>
        <v>000037</v>
      </c>
      <c r="I27" s="4">
        <v>42802</v>
      </c>
      <c r="J27" s="5" t="str">
        <f>"000008"</f>
        <v>000008</v>
      </c>
      <c r="K27" s="4">
        <v>42853</v>
      </c>
      <c r="L27" s="5" t="str">
        <f>"000021"</f>
        <v>000021</v>
      </c>
      <c r="M27" s="4">
        <v>42853</v>
      </c>
      <c r="N27" s="5">
        <v>17</v>
      </c>
      <c r="O27" s="5" t="str">
        <f>"006098"</f>
        <v>006098</v>
      </c>
      <c r="P27" s="4">
        <v>43376</v>
      </c>
      <c r="Q27" s="7">
        <v>20.43572</v>
      </c>
      <c r="R27" s="7">
        <v>2.7067800000000002</v>
      </c>
      <c r="S27" s="7">
        <v>17.728940000000001</v>
      </c>
      <c r="T27" s="5">
        <v>230</v>
      </c>
      <c r="U27" s="4">
        <v>43385</v>
      </c>
      <c r="V27" s="5">
        <v>9886759864</v>
      </c>
      <c r="W27" s="6" t="s">
        <v>117</v>
      </c>
      <c r="X27" s="5" t="s">
        <v>29</v>
      </c>
      <c r="Y27" s="6" t="s">
        <v>30</v>
      </c>
      <c r="Z27" s="5" t="s">
        <v>57</v>
      </c>
      <c r="AA27" s="6" t="s">
        <v>58</v>
      </c>
      <c r="AB27" s="7">
        <f>Q27/100</f>
        <v>0.20435719999999999</v>
      </c>
      <c r="AD27" s="8"/>
      <c r="AF27" s="8"/>
      <c r="AG27" s="8"/>
    </row>
    <row r="28" spans="1:33" x14ac:dyDescent="0.2">
      <c r="A28" s="12">
        <v>6017</v>
      </c>
      <c r="B28" s="13" t="s">
        <v>42</v>
      </c>
      <c r="C28" s="13">
        <v>43385</v>
      </c>
      <c r="D28" s="5">
        <v>51</v>
      </c>
      <c r="E28" s="6" t="s">
        <v>53</v>
      </c>
      <c r="F28" s="5" t="s">
        <v>118</v>
      </c>
      <c r="G28" s="6" t="s">
        <v>119</v>
      </c>
      <c r="H28" s="5" t="str">
        <f>"000036"</f>
        <v>000036</v>
      </c>
      <c r="I28" s="4">
        <v>42801</v>
      </c>
      <c r="J28" s="5" t="str">
        <f>"000007"</f>
        <v>000007</v>
      </c>
      <c r="K28" s="4">
        <v>42853</v>
      </c>
      <c r="L28" s="5" t="str">
        <f>"000022"</f>
        <v>000022</v>
      </c>
      <c r="M28" s="4">
        <v>42853</v>
      </c>
      <c r="N28" s="5">
        <v>17</v>
      </c>
      <c r="O28" s="5" t="str">
        <f>"006099"</f>
        <v>006099</v>
      </c>
      <c r="P28" s="4">
        <v>43376</v>
      </c>
      <c r="Q28" s="7">
        <v>20.422039999999999</v>
      </c>
      <c r="R28" s="7">
        <v>2.72817</v>
      </c>
      <c r="S28" s="7">
        <v>17.69387</v>
      </c>
      <c r="T28" s="5">
        <v>230</v>
      </c>
      <c r="U28" s="4">
        <v>43385</v>
      </c>
      <c r="V28" s="5">
        <v>9886759864</v>
      </c>
      <c r="W28" s="6" t="s">
        <v>120</v>
      </c>
      <c r="X28" s="5" t="s">
        <v>29</v>
      </c>
      <c r="Y28" s="6" t="s">
        <v>30</v>
      </c>
      <c r="Z28" s="5" t="s">
        <v>57</v>
      </c>
      <c r="AA28" s="6" t="s">
        <v>58</v>
      </c>
      <c r="AB28" s="7">
        <f>Q28/100</f>
        <v>0.2042204</v>
      </c>
      <c r="AD28" s="8"/>
      <c r="AF28" s="8"/>
      <c r="AG28" s="8"/>
    </row>
    <row r="29" spans="1:33" x14ac:dyDescent="0.2">
      <c r="A29" s="12">
        <v>7059</v>
      </c>
      <c r="B29" s="13" t="s">
        <v>42</v>
      </c>
      <c r="C29" s="13">
        <v>43404</v>
      </c>
      <c r="D29" s="5">
        <v>51</v>
      </c>
      <c r="E29" s="6" t="s">
        <v>53</v>
      </c>
      <c r="F29" s="5" t="s">
        <v>121</v>
      </c>
      <c r="G29" s="6" t="s">
        <v>122</v>
      </c>
      <c r="H29" s="5" t="str">
        <f>"000023"</f>
        <v>000023</v>
      </c>
      <c r="I29" s="4">
        <v>43203</v>
      </c>
      <c r="J29" s="5" t="str">
        <f>"000089"</f>
        <v>000089</v>
      </c>
      <c r="K29" s="4">
        <v>43372</v>
      </c>
      <c r="L29" s="5" t="str">
        <f>"000219"</f>
        <v>000219</v>
      </c>
      <c r="M29" s="4">
        <v>43372</v>
      </c>
      <c r="N29" s="5">
        <v>18</v>
      </c>
      <c r="O29" s="5" t="str">
        <f>"007107"</f>
        <v>007107</v>
      </c>
      <c r="P29" s="4">
        <v>43402</v>
      </c>
      <c r="Q29" s="7">
        <v>22.581779999999998</v>
      </c>
      <c r="R29" s="7">
        <v>1.3371999999999999</v>
      </c>
      <c r="S29" s="7">
        <v>21.244579999999999</v>
      </c>
      <c r="T29" s="5">
        <v>258</v>
      </c>
      <c r="U29" s="4">
        <v>43404</v>
      </c>
      <c r="V29" s="5">
        <v>0</v>
      </c>
      <c r="W29" s="6" t="s">
        <v>123</v>
      </c>
      <c r="X29" s="5" t="s">
        <v>46</v>
      </c>
      <c r="Y29" s="6" t="s">
        <v>45</v>
      </c>
      <c r="Z29" s="5" t="s">
        <v>57</v>
      </c>
      <c r="AA29" s="6" t="s">
        <v>58</v>
      </c>
      <c r="AB29" s="7">
        <f>Q29/100</f>
        <v>0.22581779999999999</v>
      </c>
      <c r="AD29" s="8"/>
      <c r="AF29" s="8"/>
      <c r="AG29" s="8"/>
    </row>
    <row r="30" spans="1:33" x14ac:dyDescent="0.2">
      <c r="A30" s="12">
        <v>7318</v>
      </c>
      <c r="B30" s="13" t="s">
        <v>38</v>
      </c>
      <c r="C30" s="13">
        <v>43424</v>
      </c>
      <c r="D30" s="5">
        <v>51</v>
      </c>
      <c r="E30" s="6" t="s">
        <v>53</v>
      </c>
      <c r="F30" s="5" t="s">
        <v>124</v>
      </c>
      <c r="G30" s="6" t="s">
        <v>125</v>
      </c>
      <c r="H30" s="5" t="str">
        <f>"000062"</f>
        <v>000062</v>
      </c>
      <c r="I30" s="4">
        <v>43340</v>
      </c>
      <c r="J30" s="5" t="str">
        <f>"000077"</f>
        <v>000077</v>
      </c>
      <c r="K30" s="4">
        <v>43340</v>
      </c>
      <c r="L30" s="5" t="str">
        <f>"000189"</f>
        <v>000189</v>
      </c>
      <c r="M30" s="4">
        <v>43340</v>
      </c>
      <c r="N30" s="5">
        <v>18</v>
      </c>
      <c r="O30" s="5" t="str">
        <f>"007302"</f>
        <v>007302</v>
      </c>
      <c r="P30" s="4">
        <v>43417</v>
      </c>
      <c r="Q30" s="7">
        <v>13.499700000000001</v>
      </c>
      <c r="R30" s="7">
        <v>1.52586</v>
      </c>
      <c r="S30" s="7">
        <v>11.973839999999999</v>
      </c>
      <c r="T30" s="5">
        <v>271</v>
      </c>
      <c r="U30" s="4">
        <v>43424</v>
      </c>
      <c r="V30" s="5">
        <v>9886625864</v>
      </c>
      <c r="W30" s="6" t="s">
        <v>48</v>
      </c>
      <c r="X30" s="5" t="s">
        <v>41</v>
      </c>
      <c r="Y30" s="6" t="s">
        <v>40</v>
      </c>
      <c r="Z30" s="5" t="s">
        <v>57</v>
      </c>
      <c r="AA30" s="6" t="s">
        <v>58</v>
      </c>
      <c r="AB30" s="7">
        <f>Q30/100</f>
        <v>0.13499700000000001</v>
      </c>
      <c r="AD30" s="8"/>
      <c r="AF30" s="8"/>
      <c r="AG30" s="8"/>
    </row>
    <row r="31" spans="1:33" x14ac:dyDescent="0.2">
      <c r="A31" s="12">
        <v>7430</v>
      </c>
      <c r="B31" s="13" t="s">
        <v>38</v>
      </c>
      <c r="C31" s="13">
        <v>43432</v>
      </c>
      <c r="D31" s="5">
        <v>51</v>
      </c>
      <c r="E31" s="6" t="s">
        <v>53</v>
      </c>
      <c r="F31" s="5" t="s">
        <v>126</v>
      </c>
      <c r="G31" s="6" t="s">
        <v>127</v>
      </c>
      <c r="H31" s="5" t="str">
        <f>"000109"</f>
        <v>000109</v>
      </c>
      <c r="I31" s="4">
        <v>43407</v>
      </c>
      <c r="J31" s="5" t="str">
        <f>"000100"</f>
        <v>000100</v>
      </c>
      <c r="K31" s="4">
        <v>43407</v>
      </c>
      <c r="L31" s="5" t="str">
        <f>"000248"</f>
        <v>000248</v>
      </c>
      <c r="M31" s="4">
        <v>43407</v>
      </c>
      <c r="N31" s="5">
        <v>17</v>
      </c>
      <c r="O31" s="5" t="str">
        <f>"007604"</f>
        <v>007604</v>
      </c>
      <c r="P31" s="4">
        <v>43431</v>
      </c>
      <c r="Q31" s="7">
        <v>24.711819999999999</v>
      </c>
      <c r="R31" s="7">
        <v>3.0515500000000002</v>
      </c>
      <c r="S31" s="7">
        <v>21.660270000000001</v>
      </c>
      <c r="T31" s="5">
        <v>277</v>
      </c>
      <c r="U31" s="4">
        <v>43432</v>
      </c>
      <c r="V31" s="5">
        <v>9343722590</v>
      </c>
      <c r="W31" s="6" t="s">
        <v>128</v>
      </c>
      <c r="X31" s="5" t="s">
        <v>46</v>
      </c>
      <c r="Y31" s="6" t="s">
        <v>45</v>
      </c>
      <c r="Z31" s="5" t="s">
        <v>57</v>
      </c>
      <c r="AA31" s="6" t="s">
        <v>58</v>
      </c>
      <c r="AB31" s="7">
        <f>Q31/100</f>
        <v>0.24711819999999998</v>
      </c>
      <c r="AD31" s="8"/>
      <c r="AF31" s="8"/>
      <c r="AG31" s="8"/>
    </row>
    <row r="32" spans="1:33" x14ac:dyDescent="0.2">
      <c r="A32" s="12">
        <v>7431</v>
      </c>
      <c r="B32" s="13" t="s">
        <v>38</v>
      </c>
      <c r="C32" s="13">
        <v>43432</v>
      </c>
      <c r="D32" s="5">
        <v>51</v>
      </c>
      <c r="E32" s="6" t="s">
        <v>53</v>
      </c>
      <c r="F32" s="5" t="s">
        <v>129</v>
      </c>
      <c r="G32" s="6" t="s">
        <v>130</v>
      </c>
      <c r="H32" s="5" t="str">
        <f>"000110"</f>
        <v>000110</v>
      </c>
      <c r="I32" s="4">
        <v>43407</v>
      </c>
      <c r="J32" s="5" t="str">
        <f>"000098"</f>
        <v>000098</v>
      </c>
      <c r="K32" s="4">
        <v>43407</v>
      </c>
      <c r="L32" s="5" t="str">
        <f>"000245"</f>
        <v>000245</v>
      </c>
      <c r="M32" s="4">
        <v>43407</v>
      </c>
      <c r="N32" s="5">
        <v>17</v>
      </c>
      <c r="O32" s="5" t="str">
        <f>"007605"</f>
        <v>007605</v>
      </c>
      <c r="P32" s="4">
        <v>43431</v>
      </c>
      <c r="Q32" s="7">
        <v>20.740960000000001</v>
      </c>
      <c r="R32" s="7">
        <v>2.54359</v>
      </c>
      <c r="S32" s="7">
        <v>18.197369999999999</v>
      </c>
      <c r="T32" s="5">
        <v>277</v>
      </c>
      <c r="U32" s="4">
        <v>43432</v>
      </c>
      <c r="V32" s="5">
        <v>9343722590</v>
      </c>
      <c r="W32" s="6" t="s">
        <v>128</v>
      </c>
      <c r="X32" s="5" t="s">
        <v>46</v>
      </c>
      <c r="Y32" s="6" t="s">
        <v>45</v>
      </c>
      <c r="Z32" s="5" t="s">
        <v>57</v>
      </c>
      <c r="AA32" s="6" t="s">
        <v>58</v>
      </c>
      <c r="AB32" s="7">
        <f>Q32/100</f>
        <v>0.2074096</v>
      </c>
      <c r="AD32" s="8"/>
      <c r="AF32" s="8"/>
      <c r="AG32" s="8"/>
    </row>
    <row r="33" spans="1:33" x14ac:dyDescent="0.2">
      <c r="A33" s="12">
        <v>7432</v>
      </c>
      <c r="B33" s="13" t="s">
        <v>38</v>
      </c>
      <c r="C33" s="13">
        <v>43432</v>
      </c>
      <c r="D33" s="5">
        <v>51</v>
      </c>
      <c r="E33" s="6" t="s">
        <v>53</v>
      </c>
      <c r="F33" s="5" t="s">
        <v>131</v>
      </c>
      <c r="G33" s="6" t="s">
        <v>132</v>
      </c>
      <c r="H33" s="5" t="str">
        <f>"000108"</f>
        <v>000108</v>
      </c>
      <c r="I33" s="4">
        <v>43407</v>
      </c>
      <c r="J33" s="5" t="str">
        <f>"000099"</f>
        <v>000099</v>
      </c>
      <c r="K33" s="4">
        <v>43407</v>
      </c>
      <c r="L33" s="5" t="str">
        <f>"000247"</f>
        <v>000247</v>
      </c>
      <c r="M33" s="4">
        <v>43407</v>
      </c>
      <c r="N33" s="5">
        <v>17</v>
      </c>
      <c r="O33" s="5" t="str">
        <f>"007606"</f>
        <v>007606</v>
      </c>
      <c r="P33" s="4">
        <v>43431</v>
      </c>
      <c r="Q33" s="7">
        <v>16.534939999999999</v>
      </c>
      <c r="R33" s="7">
        <v>1.8875599999999999</v>
      </c>
      <c r="S33" s="7">
        <v>14.64738</v>
      </c>
      <c r="T33" s="5">
        <v>277</v>
      </c>
      <c r="U33" s="4">
        <v>43432</v>
      </c>
      <c r="V33" s="5">
        <v>9343722590</v>
      </c>
      <c r="W33" s="6" t="s">
        <v>128</v>
      </c>
      <c r="X33" s="5" t="s">
        <v>46</v>
      </c>
      <c r="Y33" s="6" t="s">
        <v>45</v>
      </c>
      <c r="Z33" s="5" t="s">
        <v>57</v>
      </c>
      <c r="AA33" s="6" t="s">
        <v>58</v>
      </c>
      <c r="AB33" s="7">
        <f>Q33/100</f>
        <v>0.16534939999999998</v>
      </c>
      <c r="AD33" s="8"/>
      <c r="AF33" s="8"/>
      <c r="AG33" s="8"/>
    </row>
    <row r="34" spans="1:33" x14ac:dyDescent="0.2">
      <c r="A34" s="12">
        <v>7626</v>
      </c>
      <c r="B34" s="13" t="s">
        <v>39</v>
      </c>
      <c r="C34" s="13">
        <v>43438</v>
      </c>
      <c r="D34" s="5">
        <v>51</v>
      </c>
      <c r="E34" s="6" t="s">
        <v>53</v>
      </c>
      <c r="F34" s="5" t="s">
        <v>133</v>
      </c>
      <c r="G34" s="6" t="s">
        <v>134</v>
      </c>
      <c r="H34" s="5" t="str">
        <f>"000107"</f>
        <v>000107</v>
      </c>
      <c r="I34" s="4">
        <v>43407</v>
      </c>
      <c r="J34" s="5" t="str">
        <f>"000097"</f>
        <v>000097</v>
      </c>
      <c r="K34" s="4">
        <v>43407</v>
      </c>
      <c r="L34" s="5" t="str">
        <f>"000249"</f>
        <v>000249</v>
      </c>
      <c r="M34" s="4">
        <v>43407</v>
      </c>
      <c r="N34" s="5">
        <v>17</v>
      </c>
      <c r="O34" s="5" t="str">
        <f>"007663"</f>
        <v>007663</v>
      </c>
      <c r="P34" s="4">
        <v>43437</v>
      </c>
      <c r="Q34" s="7">
        <v>16.538730000000001</v>
      </c>
      <c r="R34" s="7">
        <v>1.8779300000000001</v>
      </c>
      <c r="S34" s="7">
        <v>14.6608</v>
      </c>
      <c r="T34" s="5">
        <v>283</v>
      </c>
      <c r="U34" s="4">
        <v>43438</v>
      </c>
      <c r="V34" s="5">
        <v>9343722590</v>
      </c>
      <c r="W34" s="6" t="s">
        <v>135</v>
      </c>
      <c r="X34" s="5" t="s">
        <v>46</v>
      </c>
      <c r="Y34" s="6" t="s">
        <v>45</v>
      </c>
      <c r="Z34" s="5" t="s">
        <v>57</v>
      </c>
      <c r="AA34" s="6" t="s">
        <v>58</v>
      </c>
      <c r="AB34" s="7">
        <f>Q34/100</f>
        <v>0.16538730000000001</v>
      </c>
      <c r="AD34" s="8"/>
      <c r="AF34" s="8"/>
      <c r="AG34" s="8"/>
    </row>
    <row r="35" spans="1:33" x14ac:dyDescent="0.2">
      <c r="A35" s="12">
        <v>7627</v>
      </c>
      <c r="B35" s="13" t="s">
        <v>39</v>
      </c>
      <c r="C35" s="13">
        <v>43438</v>
      </c>
      <c r="D35" s="5">
        <v>51</v>
      </c>
      <c r="E35" s="6" t="s">
        <v>53</v>
      </c>
      <c r="F35" s="5" t="s">
        <v>136</v>
      </c>
      <c r="G35" s="6" t="s">
        <v>137</v>
      </c>
      <c r="H35" s="5" t="str">
        <f>"000111"</f>
        <v>000111</v>
      </c>
      <c r="I35" s="4">
        <v>43407</v>
      </c>
      <c r="J35" s="5" t="str">
        <f>"000101"</f>
        <v>000101</v>
      </c>
      <c r="K35" s="4">
        <v>43407</v>
      </c>
      <c r="L35" s="5" t="str">
        <f>"000246"</f>
        <v>000246</v>
      </c>
      <c r="M35" s="4">
        <v>43407</v>
      </c>
      <c r="N35" s="5">
        <v>17</v>
      </c>
      <c r="O35" s="5" t="str">
        <f>"007665"</f>
        <v>007665</v>
      </c>
      <c r="P35" s="4">
        <v>43437</v>
      </c>
      <c r="Q35" s="7">
        <v>24.84028</v>
      </c>
      <c r="R35" s="7">
        <v>3.0236800000000001</v>
      </c>
      <c r="S35" s="7">
        <v>21.816600000000001</v>
      </c>
      <c r="T35" s="5">
        <v>283</v>
      </c>
      <c r="U35" s="4">
        <v>43438</v>
      </c>
      <c r="V35" s="5">
        <v>9343722590</v>
      </c>
      <c r="W35" s="6" t="s">
        <v>138</v>
      </c>
      <c r="X35" s="5" t="s">
        <v>46</v>
      </c>
      <c r="Y35" s="6" t="s">
        <v>45</v>
      </c>
      <c r="Z35" s="5" t="s">
        <v>57</v>
      </c>
      <c r="AA35" s="6" t="s">
        <v>58</v>
      </c>
      <c r="AB35" s="7">
        <f>Q35/100</f>
        <v>0.24840280000000001</v>
      </c>
      <c r="AD35" s="8"/>
      <c r="AF35" s="8"/>
      <c r="AG35" s="8"/>
    </row>
    <row r="36" spans="1:33" x14ac:dyDescent="0.2">
      <c r="A36" s="12">
        <v>7827</v>
      </c>
      <c r="B36" s="13" t="s">
        <v>39</v>
      </c>
      <c r="C36" s="13">
        <v>43449</v>
      </c>
      <c r="D36" s="5">
        <v>51</v>
      </c>
      <c r="E36" s="6" t="s">
        <v>53</v>
      </c>
      <c r="F36" s="5" t="s">
        <v>139</v>
      </c>
      <c r="G36" s="6" t="s">
        <v>140</v>
      </c>
      <c r="H36" s="5" t="str">
        <f>"000175"</f>
        <v>000175</v>
      </c>
      <c r="I36" s="4">
        <v>42816</v>
      </c>
      <c r="J36" s="5" t="str">
        <f>"000020"</f>
        <v>000020</v>
      </c>
      <c r="K36" s="4">
        <v>42825</v>
      </c>
      <c r="L36" s="5" t="str">
        <f>"000038"</f>
        <v>000038</v>
      </c>
      <c r="M36" s="4">
        <v>42825</v>
      </c>
      <c r="N36" s="5">
        <v>17</v>
      </c>
      <c r="O36" s="5" t="str">
        <f>"007685"</f>
        <v>007685</v>
      </c>
      <c r="P36" s="4">
        <v>43438</v>
      </c>
      <c r="Q36" s="7">
        <v>20.486139999999999</v>
      </c>
      <c r="R36" s="7">
        <v>2.6122200000000002</v>
      </c>
      <c r="S36" s="7">
        <v>17.873919999999998</v>
      </c>
      <c r="T36" s="5">
        <v>293</v>
      </c>
      <c r="U36" s="4">
        <v>43449</v>
      </c>
      <c r="V36" s="5">
        <v>9448613388</v>
      </c>
      <c r="W36" s="6" t="s">
        <v>141</v>
      </c>
      <c r="X36" s="5" t="s">
        <v>29</v>
      </c>
      <c r="Y36" s="6" t="s">
        <v>30</v>
      </c>
      <c r="Z36" s="5" t="s">
        <v>57</v>
      </c>
      <c r="AA36" s="6" t="s">
        <v>58</v>
      </c>
      <c r="AB36" s="7">
        <f>Q36/100</f>
        <v>0.2048614</v>
      </c>
      <c r="AD36" s="8"/>
      <c r="AF36" s="8"/>
      <c r="AG36" s="8"/>
    </row>
    <row r="37" spans="1:33" x14ac:dyDescent="0.2">
      <c r="A37" s="12">
        <v>7856</v>
      </c>
      <c r="B37" s="13" t="s">
        <v>39</v>
      </c>
      <c r="C37" s="13">
        <v>43453</v>
      </c>
      <c r="D37" s="5">
        <v>51</v>
      </c>
      <c r="E37" s="6" t="s">
        <v>53</v>
      </c>
      <c r="F37" s="5" t="s">
        <v>142</v>
      </c>
      <c r="G37" s="6" t="s">
        <v>143</v>
      </c>
      <c r="H37" s="5" t="str">
        <f>"000105"</f>
        <v>000105</v>
      </c>
      <c r="I37" s="4">
        <v>43407</v>
      </c>
      <c r="J37" s="5" t="str">
        <f>"000094"</f>
        <v>000094</v>
      </c>
      <c r="K37" s="4">
        <v>43407</v>
      </c>
      <c r="L37" s="5" t="str">
        <f>"000242"</f>
        <v>000242</v>
      </c>
      <c r="M37" s="4">
        <v>43407</v>
      </c>
      <c r="N37" s="5">
        <v>17</v>
      </c>
      <c r="O37" s="5" t="str">
        <f>"008075"</f>
        <v>008075</v>
      </c>
      <c r="P37" s="4">
        <v>43451</v>
      </c>
      <c r="Q37" s="7">
        <v>12.56765</v>
      </c>
      <c r="R37" s="7">
        <v>0.95891999999999999</v>
      </c>
      <c r="S37" s="7">
        <v>11.60873</v>
      </c>
      <c r="T37" s="5">
        <v>296</v>
      </c>
      <c r="U37" s="4">
        <v>43453</v>
      </c>
      <c r="V37" s="5">
        <v>9448446520</v>
      </c>
      <c r="W37" s="6" t="s">
        <v>144</v>
      </c>
      <c r="X37" s="5" t="s">
        <v>36</v>
      </c>
      <c r="Y37" s="6" t="s">
        <v>37</v>
      </c>
      <c r="Z37" s="5" t="s">
        <v>57</v>
      </c>
      <c r="AA37" s="6" t="s">
        <v>58</v>
      </c>
      <c r="AB37" s="7">
        <f>Q37/100</f>
        <v>0.1256765</v>
      </c>
      <c r="AD37" s="8"/>
      <c r="AF37" s="8"/>
      <c r="AG37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2019-01-08T05:01:28Z</dcterms:created>
  <dcterms:modified xsi:type="dcterms:W3CDTF">2019-01-14T13:53:26Z</dcterms:modified>
</cp:coreProperties>
</file>