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53" i="1" l="1"/>
  <c r="O53" i="1"/>
  <c r="L53" i="1"/>
  <c r="J53" i="1"/>
  <c r="H53" i="1"/>
  <c r="AB52" i="1"/>
  <c r="O52" i="1"/>
  <c r="L52" i="1"/>
  <c r="J52" i="1"/>
  <c r="H52" i="1"/>
  <c r="AB51" i="1"/>
  <c r="O51" i="1"/>
  <c r="L51" i="1"/>
  <c r="J51" i="1"/>
  <c r="H51" i="1"/>
  <c r="AB50" i="1"/>
  <c r="O50" i="1"/>
  <c r="L50" i="1"/>
  <c r="J50" i="1"/>
  <c r="H50" i="1"/>
  <c r="AB49" i="1"/>
  <c r="O49" i="1"/>
  <c r="L49" i="1"/>
  <c r="J49" i="1"/>
  <c r="H49" i="1"/>
  <c r="AB48" i="1"/>
  <c r="O48" i="1"/>
  <c r="L48" i="1"/>
  <c r="J48" i="1"/>
  <c r="H48" i="1"/>
  <c r="AB47" i="1"/>
  <c r="O47" i="1"/>
  <c r="L47" i="1"/>
  <c r="J47" i="1"/>
  <c r="H47" i="1"/>
  <c r="AB46" i="1"/>
  <c r="O46" i="1"/>
  <c r="L46" i="1"/>
  <c r="J46" i="1"/>
  <c r="H46" i="1"/>
  <c r="AB45" i="1"/>
  <c r="O45" i="1"/>
  <c r="L45" i="1"/>
  <c r="J45" i="1"/>
  <c r="H45" i="1"/>
  <c r="AB44" i="1"/>
  <c r="O44" i="1"/>
  <c r="L44" i="1"/>
  <c r="J44" i="1"/>
  <c r="H44" i="1"/>
  <c r="AB43" i="1"/>
  <c r="O43" i="1"/>
  <c r="L43" i="1"/>
  <c r="J43" i="1"/>
  <c r="H43" i="1"/>
  <c r="AB42" i="1"/>
  <c r="O42" i="1"/>
  <c r="L42" i="1"/>
  <c r="J42" i="1"/>
  <c r="H42" i="1"/>
  <c r="AB41" i="1"/>
  <c r="O41" i="1"/>
  <c r="L41" i="1"/>
  <c r="J41" i="1"/>
  <c r="H41" i="1"/>
  <c r="AB40" i="1"/>
  <c r="O40" i="1"/>
  <c r="L40" i="1"/>
  <c r="J40" i="1"/>
  <c r="H40" i="1"/>
  <c r="AB39" i="1"/>
  <c r="O39" i="1"/>
  <c r="L39" i="1"/>
  <c r="J39" i="1"/>
  <c r="H39" i="1"/>
  <c r="AB38" i="1"/>
  <c r="O38" i="1"/>
  <c r="L38" i="1"/>
  <c r="J38" i="1"/>
  <c r="H38" i="1"/>
  <c r="AB37" i="1"/>
  <c r="O37" i="1"/>
  <c r="L37" i="1"/>
  <c r="J37" i="1"/>
  <c r="H37" i="1"/>
  <c r="AB36" i="1"/>
  <c r="O36" i="1"/>
  <c r="L36" i="1"/>
  <c r="J36" i="1"/>
  <c r="H36" i="1"/>
  <c r="AB35" i="1"/>
  <c r="O35" i="1"/>
  <c r="L35" i="1"/>
  <c r="J35" i="1"/>
  <c r="H35" i="1"/>
  <c r="AB34" i="1"/>
  <c r="O34" i="1"/>
  <c r="L34" i="1"/>
  <c r="J34" i="1"/>
  <c r="H34" i="1"/>
  <c r="AB33" i="1"/>
  <c r="O33" i="1"/>
  <c r="L33" i="1"/>
  <c r="J33" i="1"/>
  <c r="H33" i="1"/>
  <c r="AB32" i="1"/>
  <c r="O32" i="1"/>
  <c r="L32" i="1"/>
  <c r="J32" i="1"/>
  <c r="H32" i="1"/>
  <c r="O31" i="1"/>
  <c r="L31" i="1"/>
  <c r="J31" i="1"/>
  <c r="H31" i="1"/>
  <c r="O30" i="1"/>
  <c r="L30" i="1"/>
  <c r="J30" i="1"/>
  <c r="H30" i="1"/>
  <c r="O29" i="1"/>
  <c r="L29" i="1"/>
  <c r="J29" i="1"/>
  <c r="H29" i="1"/>
  <c r="O28" i="1"/>
  <c r="L28" i="1"/>
  <c r="J28" i="1"/>
  <c r="H28" i="1"/>
  <c r="O27" i="1"/>
  <c r="L27" i="1"/>
  <c r="J27" i="1"/>
  <c r="H27" i="1"/>
  <c r="O26" i="1"/>
  <c r="L26" i="1"/>
  <c r="J26" i="1"/>
  <c r="H26" i="1"/>
  <c r="O25" i="1"/>
  <c r="L25" i="1"/>
  <c r="J25" i="1"/>
  <c r="H25" i="1"/>
  <c r="O24" i="1"/>
  <c r="L24" i="1"/>
  <c r="J24" i="1"/>
  <c r="H24" i="1"/>
  <c r="O23" i="1"/>
  <c r="L23" i="1"/>
  <c r="J23" i="1"/>
  <c r="H23" i="1"/>
  <c r="O22" i="1"/>
  <c r="L22" i="1"/>
  <c r="J22" i="1"/>
  <c r="H22" i="1"/>
  <c r="O21" i="1"/>
  <c r="L21" i="1"/>
  <c r="J21" i="1"/>
  <c r="H21" i="1"/>
  <c r="O20" i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<sst xmlns="http://schemas.openxmlformats.org/spreadsheetml/2006/main" count="496" uniqueCount="190">
  <si>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</si>
  <si>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</si>
  <si>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</si>
  <si>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</si>
  <si>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</si>
  <si>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</si>
  <si>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</si>
  <si>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</si>
  <si>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</si>
  <si>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</si>
  <si>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</si>
  <si>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</si>
  <si>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</si>
  <si>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</si>
  <si>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</si>
  <si>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</si>
  <si>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</si>
  <si>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</si>
  <si>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</si>
  <si>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</si>
  <si>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</si>
  <si>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</si>
  <si>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</si>
  <si>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</si>
  <si>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</si>
  <si>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</si>
  <si>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</si>
  <si>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</si>
  <si>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P3158</t>
  </si>
  <si>
    <t>SIP Infrastructure Project works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</si>
  <si>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</si>
  <si>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</si>
  <si>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</si>
  <si>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</si>
  <si>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</si>
  <si>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</si>
  <si>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June</t>
  </si>
  <si>
    <t>May</t>
  </si>
  <si>
    <t>September</t>
  </si>
  <si>
    <t>P3110</t>
  </si>
  <si>
    <t>14th Finance Commission Grant Works</t>
  </si>
  <si>
    <t>November</t>
  </si>
  <si>
    <t>December</t>
  </si>
  <si>
    <t>Nagarothana Works</t>
  </si>
  <si>
    <t>P3106</t>
  </si>
  <si>
    <t>October</t>
  </si>
  <si>
    <t>Special Development works in 7 CMC and 1 TMC area in BBMP</t>
  </si>
  <si>
    <t>P3089</t>
  </si>
  <si>
    <t>April</t>
  </si>
  <si>
    <t>18per - Works (Bhagyajyothi, Sooru / Neeru Yojane and General) (54 Lakhs / New Wards)</t>
  </si>
  <si>
    <t>P1878</t>
  </si>
  <si>
    <t>Water Supply New Areas</t>
  </si>
  <si>
    <t>P1802</t>
  </si>
  <si>
    <t>KRIDL</t>
  </si>
  <si>
    <t>Works sanctioned by Hon Mayor</t>
  </si>
  <si>
    <t>P0190</t>
  </si>
  <si>
    <t>M/S KRIDL</t>
  </si>
  <si>
    <t>P0294</t>
  </si>
  <si>
    <t>M and R to Electrical Inst in BMP Buildings, Schools, M.Homes, Community Halls, Markets and Others</t>
  </si>
  <si>
    <t>ddo365</t>
  </si>
  <si>
    <t xml:space="preserve"> Executive Engineer Electrical Mahadevapura Zone</t>
  </si>
  <si>
    <t>M Venkatachalapathi</t>
  </si>
  <si>
    <t>M/s Vaishnavi Enterprises</t>
  </si>
  <si>
    <t>Hoodi</t>
  </si>
  <si>
    <t>054-16-000027</t>
  </si>
  <si>
    <t>Providing Concrete road and drain for the cross roads at Belthur Village in ward no 54</t>
  </si>
  <si>
    <t>Abilash.G.N</t>
  </si>
  <si>
    <t>ddo359</t>
  </si>
  <si>
    <t xml:space="preserve"> Assistant Executive Engineer Hoody Mahadevapura Zone</t>
  </si>
  <si>
    <t>054-14-000038</t>
  </si>
  <si>
    <t xml:space="preserve">Improvements to road from Kumbenaagrahara to join Belthur - Medahally via Zee School at Kumbena agrahara Village in ward no.54 </t>
  </si>
  <si>
    <t>KRISHNAMURTHY.P.A</t>
  </si>
  <si>
    <t>P2654</t>
  </si>
  <si>
    <t>Special Package for 110 Villages (Rs. 1 Crore Per Village)</t>
  </si>
  <si>
    <t>054-16-000020</t>
  </si>
  <si>
    <t>Improvement to roads and drains at balance 2nd cross and 3rd cross in Maruthi layout at Varanasi village in ward no 54</t>
  </si>
  <si>
    <t>054-16-000019</t>
  </si>
  <si>
    <t>Improvement to roads and drains at 1st and 2nd cross in Maruthi Layout at Varanasi in ward no 54</t>
  </si>
  <si>
    <t>054-16-000007</t>
  </si>
  <si>
    <t>Maintenance of roads by filling of potholes in Hoody ward No 54</t>
  </si>
  <si>
    <t>M VENKATACHALAPATHI</t>
  </si>
  <si>
    <t>054-16-000014</t>
  </si>
  <si>
    <t>Improvements to internal roads and drains at Hoodi village in ward no-54</t>
  </si>
  <si>
    <t>S C YUVARAJU M/S CHANDRA PROJECT</t>
  </si>
  <si>
    <t>054-16-000032</t>
  </si>
  <si>
    <t>Improvements of Balance roads at Ayyappanagara 3rd and 4th Block Gangothri layout and Defence layout at Ayyappanagara in ward no54</t>
  </si>
  <si>
    <t>B MANJUNATH</t>
  </si>
  <si>
    <t>054-16-000034</t>
  </si>
  <si>
    <t>Comprehensive Development of Roads and Drains in ward no54</t>
  </si>
  <si>
    <t>B MANJUNATH Sri MARUTHI CONSTRUCTION AND COMPANY</t>
  </si>
  <si>
    <t>054-16-000006</t>
  </si>
  <si>
    <t>Constructions of culverts and drains in front of ayyappa temple at Belathur Colony in ward no 54</t>
  </si>
  <si>
    <t>V Srinvas</t>
  </si>
  <si>
    <t>054-16-000022</t>
  </si>
  <si>
    <t>Improvement ro roads drains at Chikkaramaiah Layout 1st cross and Venkatagiriyappa layout at Varanasi in ward no 54</t>
  </si>
  <si>
    <t>ASHWATHAPPA</t>
  </si>
  <si>
    <t>054-16-000028</t>
  </si>
  <si>
    <t>improvements to approach road and internal roads of Anup layout at Hoody in ward no 54</t>
  </si>
  <si>
    <t>054-16-000002</t>
  </si>
  <si>
    <t>Engaging tractor and Labour for maintenance of Roads and drains in Ward No54</t>
  </si>
  <si>
    <t>K C VEERANNA</t>
  </si>
  <si>
    <t>054-16-000025</t>
  </si>
  <si>
    <t>Improvement to main road and cross roads at Kodigehallil village in ward no 54</t>
  </si>
  <si>
    <t>K C VEERANNA S V CONTRACTORS</t>
  </si>
  <si>
    <t>054-16-000018</t>
  </si>
  <si>
    <t>Improvements to Shanthinilaya road and cross roads near Basavaraj house at Byarthi in ward no 54</t>
  </si>
  <si>
    <t>SHIVAKUMAR G.E</t>
  </si>
  <si>
    <t>054-15-000023</t>
  </si>
  <si>
    <t xml:space="preserve">Engaging tractor and Labour for maintence of drains and katcha roads in Hoody ward no54 </t>
  </si>
  <si>
    <t>VEENA S R K TRANSPORT</t>
  </si>
  <si>
    <t>054-16-000024</t>
  </si>
  <si>
    <t>Improvement to road and drains at 3rd and 5th cross of Hoody and Thigalarapalya Chilly Hotel road in ward no 54</t>
  </si>
  <si>
    <t>054-16-000013</t>
  </si>
  <si>
    <t>Construction of balance drain at Hosakote road of Belathur in ward no-54</t>
  </si>
  <si>
    <t>M VENKATACHALAPATHY</t>
  </si>
  <si>
    <t>054-16-000001</t>
  </si>
  <si>
    <t>Operation and maintanance of street light fittings in ward no 54 Hoody Mahadevapura Zone M06</t>
  </si>
  <si>
    <t>M/s Thirumala Electricals,</t>
  </si>
  <si>
    <t>054-16-000040</t>
  </si>
  <si>
    <t>Providing water supply lines at Varanasi village, in Ward No 54 HOODI</t>
  </si>
  <si>
    <t>M SHIVARAJ SRI MANJUNATHA ENTER PRISES</t>
  </si>
  <si>
    <t>P3071</t>
  </si>
  <si>
    <t>Development of Backward regions of Muncipal area under BBMP limits</t>
  </si>
  <si>
    <t>054-13-000004</t>
  </si>
  <si>
    <t>Improvements to roads and drains at Athma Vidya nagar at Byrathi village in Hoody ward no54</t>
  </si>
  <si>
    <t>054-17-000067</t>
  </si>
  <si>
    <t>Providing pipeline and gate valve in Jaibhimanagara Sadaramangala Shantinagara and other areas in Hoodi ward no 54</t>
  </si>
  <si>
    <t>S R VENUGOPAL</t>
  </si>
  <si>
    <t>054-17-000065</t>
  </si>
  <si>
    <t>Providing new pipelines repairs to old pipelines and gate valves at Kumbena agrahara beltur and belture colony villages in hoody ward no 54</t>
  </si>
  <si>
    <t>054-17-000064</t>
  </si>
  <si>
    <t>Annual maintanance of borewell motars including pipe line at varanasi bilishivali byrathi and byrathi bande villages in hoody ward no 54</t>
  </si>
  <si>
    <t>THIRUMALA ELECTRICALS S.RAMESH</t>
  </si>
  <si>
    <t>054-15-000025</t>
  </si>
  <si>
    <t>Repairs and Maintanance of Electrical Installations in BBMP Buildings in Hudi Sub Division limit Ward No54 82 85</t>
  </si>
  <si>
    <t>054-18-000052</t>
  </si>
  <si>
    <t>Providing and Improvements to roads and RCC drain at Byrathi SC colony Phase 2 in Hoody Ward No 54</t>
  </si>
  <si>
    <t>054-18-000051</t>
  </si>
  <si>
    <t>Providing and Improvements to roads and RCC drain at Byrathi SC colony Phase 1 in Hoody Ward No 54</t>
  </si>
  <si>
    <t xml:space="preserve"> KRIDL</t>
  </si>
  <si>
    <t>054-18-000053</t>
  </si>
  <si>
    <t>Providing and Improvements to roads and RCC drain at Byrathi Bande in Hoody Ward No 54</t>
  </si>
  <si>
    <t>054-18-000054</t>
  </si>
  <si>
    <t>Providing and Improvements to roads and RCC drain at Sadaramangala Slum in Hoody Ward No 54</t>
  </si>
  <si>
    <t>054-17-000013</t>
  </si>
  <si>
    <t>Desilting of road side drains and removal of debries  at varanasi bilishivali byrathi and byrathi bande villages in Ward No 54</t>
  </si>
  <si>
    <t>Ritish S B</t>
  </si>
  <si>
    <t>054-17-000063</t>
  </si>
  <si>
    <t>Annual maintanance of borewell motars including pipe line at Kumbena agrahara beltur and belture colony villages in hoody ward no 54</t>
  </si>
  <si>
    <t>Sri Thirumal Electrical (S Ramesh)</t>
  </si>
  <si>
    <t>054-17-000071</t>
  </si>
  <si>
    <t>Engagement of Gangman and Hiring of Tractor Tippers for cleaning and Maintenance of road side drains and other cleaning works in  works in ward no 54</t>
  </si>
  <si>
    <t>K C VEERANNA S.V.CONTRACTOR</t>
  </si>
  <si>
    <t>054-17-000055</t>
  </si>
  <si>
    <t>Providing Street lights in Varnasi, Bilishivale in Hoodi ward no 54</t>
  </si>
  <si>
    <t xml:space="preserve">The Technical Manager-1 KRIDL </t>
  </si>
  <si>
    <t>054-17-000054</t>
  </si>
  <si>
    <t>Providing Street lights in Sadaramangala Kubena Agrahara, Belathur and Belathur Colony in Hoodi ward no 54</t>
  </si>
  <si>
    <t>The Technical Manager-1 KRIDL</t>
  </si>
  <si>
    <t>054-17-000053</t>
  </si>
  <si>
    <t>Providing Street lights in Hoody, Ayyappanagara , Kodigehally in Hoodi ward no 54</t>
  </si>
  <si>
    <t>054-17-000056</t>
  </si>
  <si>
    <t>Providing Street lights in Byrathi and Byrathi Bande in Hoodi ward no 54</t>
  </si>
  <si>
    <t>054-17-000012</t>
  </si>
  <si>
    <t>Desilting of road side drains and removal of debries at Hoodi Ayappanagar Kodigehalli Sadaramangala  Kumbena agrahara beltur and belture colony villages in Ward No 54</t>
  </si>
  <si>
    <t xml:space="preserve">DEVARAJ D K </t>
  </si>
  <si>
    <t>054-18-000001</t>
  </si>
  <si>
    <t>Providing water supply by sinking of borewells providing and fixing submersible pumpsets electrification and pipeline works in ward no 54</t>
  </si>
  <si>
    <t>054-17-000030</t>
  </si>
  <si>
    <t>Improvements of cross roads at Om shakthi layout at Ayappanagar in ward no. 54</t>
  </si>
  <si>
    <t>054-12-000051</t>
  </si>
  <si>
    <t>Improvement to Cross Roads at Varanasi Village in Hoody Ward No:54</t>
  </si>
  <si>
    <t>VENKATESHWARA CONSTRUCTION K N JAGADHISH</t>
  </si>
  <si>
    <t>054-12-000041</t>
  </si>
  <si>
    <t>Improvement to roads and drains at Varanasi village in Hoody in Ward No:54</t>
  </si>
  <si>
    <t>054-16-000037</t>
  </si>
  <si>
    <t>Development and improvements to roads and drain in Ward No 54 surrounding area</t>
  </si>
  <si>
    <t>054-16-000003</t>
  </si>
  <si>
    <t>Maintenance and Repairs to Culverts drains in  Ward No-54</t>
  </si>
  <si>
    <t xml:space="preserve">SHIVAKUMAR G E </t>
  </si>
  <si>
    <t>054-17-000006</t>
  </si>
  <si>
    <t>Improvements to roads and drains at Beltur colony Village in ward 54</t>
  </si>
  <si>
    <t xml:space="preserve">M/S KRIDL </t>
  </si>
  <si>
    <t>054-17-000007</t>
  </si>
  <si>
    <t>Improvements to roads and drains at Ayyappa nagar (Om shakthi layout  Village) in ward 54</t>
  </si>
  <si>
    <t>054-17-000008</t>
  </si>
  <si>
    <t>Improvements to roads and drains at Varanasi Village in ward 54</t>
  </si>
  <si>
    <t>054-17-000016</t>
  </si>
  <si>
    <t>Improvements and providing water supply sanitary works Electical works furniture to ward office in ward no 54</t>
  </si>
  <si>
    <t>CHANDRAMOHAN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</si>
</sst>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3"/>
  <sheetViews>
    <sheetView tabSelected="1" workbookViewId="0">
      <selection activeCell="A2" sqref="A2:XFD53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364</v>
      </c>
      <c r="B2" s="13" t="s">
        <v>48</v>
      </c>
      <c r="C2" s="13">
        <v>43200</v>
      </c>
      <c r="D2" s="5">
        <v>54</v>
      </c>
      <c r="E2" s="6" t="s">
        <v>63</v>
      </c>
      <c r="F2" s="5" t="s">
        <v>64</v>
      </c>
      <c r="G2" s="6" t="s">
        <v>65</v>
      </c>
      <c r="H2" s="5" t="str">
        <f>"000035"</f>
        <v>000035</v>
      </c>
      <c r="I2" s="4">
        <v>42473</v>
      </c>
      <c r="J2" s="5" t="str">
        <f>"000083"</f>
        <v>000083</v>
      </c>
      <c r="K2" s="4">
        <v>42576</v>
      </c>
      <c r="L2" s="5" t="str">
        <f>"000247"</f>
        <v>000247</v>
      </c>
      <c r="M2" s="4">
        <v>42580</v>
      </c>
      <c r="N2" s="5">
        <v>16</v>
      </c>
      <c r="O2" s="5" t="str">
        <f>"000220"</f>
        <v>000220</v>
      </c>
      <c r="P2" s="4">
        <v>43194</v>
      </c>
      <c r="Q2" s="7">
        <v>9.3955000000000002</v>
      </c>
      <c r="R2" s="7">
        <v>1.23709</v>
      </c>
      <c r="S2" s="7">
        <v>8.1584099999999999</v>
      </c>
      <c r="T2" s="5">
        <v>9</v>
      </c>
      <c r="U2" s="4">
        <v>43200</v>
      </c>
      <c r="V2" s="5">
        <v>9916192935</v>
      </c>
      <c r="W2" s="6" t="s">
        <v>66</v>
      </c>
      <c r="X2" s="5" t="s">
        <v>47</v>
      </c>
      <c r="Y2" s="6" t="s">
        <v>46</v>
      </c>
      <c r="Z2" s="5" t="s">
        <v>67</v>
      </c>
      <c r="AA2" s="6" t="s">
        <v>68</v>
      </c>
      <c r="AB2" s="7">
        <v>9.3954999999999997E-2</v>
      </c>
      <c r="AD2" s="8"/>
      <c r="AF2" s="8"/>
      <c r="AG2" s="8"/>
    </row>
    <row r="3" spans="1:33" x14ac:dyDescent="0.2">
      <c r="A3" s="12">
        <v>365</v>
      </c>
      <c r="B3" s="13" t="s">
        <v>48</v>
      </c>
      <c r="C3" s="13">
        <v>43200</v>
      </c>
      <c r="D3" s="5">
        <v>54</v>
      </c>
      <c r="E3" s="6" t="s">
        <v>63</v>
      </c>
      <c r="F3" s="5" t="s">
        <v>69</v>
      </c>
      <c r="G3" s="6" t="s">
        <v>70</v>
      </c>
      <c r="H3" s="5" t="str">
        <f>"000137"</f>
        <v>000137</v>
      </c>
      <c r="I3" s="4">
        <v>42550</v>
      </c>
      <c r="J3" s="5" t="str">
        <f>""</f>
        <v/>
      </c>
      <c r="K3" s="4"/>
      <c r="L3" s="5" t="str">
        <f>""</f>
        <v/>
      </c>
      <c r="M3" s="4"/>
      <c r="N3" s="5">
        <v>14</v>
      </c>
      <c r="O3" s="5" t="str">
        <f>""</f>
        <v/>
      </c>
      <c r="P3" s="4"/>
      <c r="Q3" s="7">
        <v>45.413960000000003</v>
      </c>
      <c r="R3" s="7">
        <v>4.0651900000000003</v>
      </c>
      <c r="S3" s="7">
        <v>41.348770000000002</v>
      </c>
      <c r="T3" s="5">
        <v>14</v>
      </c>
      <c r="U3" s="4">
        <v>43200</v>
      </c>
      <c r="V3" s="5">
        <v>9480828222</v>
      </c>
      <c r="W3" s="6" t="s">
        <v>71</v>
      </c>
      <c r="X3" s="5" t="s">
        <v>72</v>
      </c>
      <c r="Y3" s="6" t="s">
        <v>73</v>
      </c>
      <c r="Z3" s="5" t="s">
        <v>67</v>
      </c>
      <c r="AA3" s="6" t="s">
        <v>68</v>
      </c>
      <c r="AB3" s="7">
        <v>0.45413960000000003</v>
      </c>
      <c r="AD3" s="8"/>
      <c r="AF3" s="8"/>
      <c r="AG3" s="8"/>
    </row>
    <row r="4" spans="1:33" x14ac:dyDescent="0.2">
      <c r="A4" s="12">
        <v>609</v>
      </c>
      <c r="B4" s="13" t="s">
        <v>48</v>
      </c>
      <c r="C4" s="13">
        <v>43214</v>
      </c>
      <c r="D4" s="5">
        <v>54</v>
      </c>
      <c r="E4" s="6" t="s">
        <v>63</v>
      </c>
      <c r="F4" s="5" t="s">
        <v>74</v>
      </c>
      <c r="G4" s="6" t="s">
        <v>75</v>
      </c>
      <c r="H4" s="5" t="str">
        <f>"000028"</f>
        <v>000028</v>
      </c>
      <c r="I4" s="4">
        <v>42467</v>
      </c>
      <c r="J4" s="5" t="str">
        <f>"001082"</f>
        <v>001082</v>
      </c>
      <c r="K4" s="4">
        <v>42576</v>
      </c>
      <c r="L4" s="5" t="str">
        <f>"000248"</f>
        <v>000248</v>
      </c>
      <c r="M4" s="4">
        <v>42580</v>
      </c>
      <c r="N4" s="5">
        <v>16</v>
      </c>
      <c r="O4" s="5" t="str">
        <f>"000535"</f>
        <v>000535</v>
      </c>
      <c r="P4" s="4">
        <v>43203</v>
      </c>
      <c r="Q4" s="7">
        <v>19.775099999999998</v>
      </c>
      <c r="R4" s="7">
        <v>2.6446499999999999</v>
      </c>
      <c r="S4" s="7">
        <v>17.13045</v>
      </c>
      <c r="T4" s="5">
        <v>23</v>
      </c>
      <c r="U4" s="4">
        <v>43214</v>
      </c>
      <c r="V4" s="5">
        <v>9611508999</v>
      </c>
      <c r="W4" s="6" t="s">
        <v>61</v>
      </c>
      <c r="X4" s="5" t="s">
        <v>47</v>
      </c>
      <c r="Y4" s="6" t="s">
        <v>46</v>
      </c>
      <c r="Z4" s="5" t="s">
        <v>67</v>
      </c>
      <c r="AA4" s="6" t="s">
        <v>68</v>
      </c>
      <c r="AB4" s="7">
        <v>0.19775099999999998</v>
      </c>
      <c r="AD4" s="8"/>
      <c r="AF4" s="8"/>
      <c r="AG4" s="8"/>
    </row>
    <row r="5" spans="1:33" x14ac:dyDescent="0.2">
      <c r="A5" s="12">
        <v>610</v>
      </c>
      <c r="B5" s="13" t="s">
        <v>48</v>
      </c>
      <c r="C5" s="13">
        <v>43214</v>
      </c>
      <c r="D5" s="5">
        <v>54</v>
      </c>
      <c r="E5" s="6" t="s">
        <v>63</v>
      </c>
      <c r="F5" s="5" t="s">
        <v>76</v>
      </c>
      <c r="G5" s="6" t="s">
        <v>77</v>
      </c>
      <c r="H5" s="5" t="str">
        <f>"000021"</f>
        <v>000021</v>
      </c>
      <c r="I5" s="4">
        <v>42467</v>
      </c>
      <c r="J5" s="5" t="str">
        <f>"000081"</f>
        <v>000081</v>
      </c>
      <c r="K5" s="4">
        <v>42576</v>
      </c>
      <c r="L5" s="5" t="str">
        <f>"000249"</f>
        <v>000249</v>
      </c>
      <c r="M5" s="4">
        <v>42580</v>
      </c>
      <c r="N5" s="5">
        <v>16</v>
      </c>
      <c r="O5" s="5" t="str">
        <f>"000536"</f>
        <v>000536</v>
      </c>
      <c r="P5" s="4">
        <v>43203</v>
      </c>
      <c r="Q5" s="7">
        <v>19.700230000000001</v>
      </c>
      <c r="R5" s="7">
        <v>2.6818499999999998</v>
      </c>
      <c r="S5" s="7">
        <v>17.018380000000001</v>
      </c>
      <c r="T5" s="5">
        <v>23</v>
      </c>
      <c r="U5" s="4">
        <v>43214</v>
      </c>
      <c r="V5" s="5">
        <v>9611508999</v>
      </c>
      <c r="W5" s="6" t="s">
        <v>61</v>
      </c>
      <c r="X5" s="5" t="s">
        <v>47</v>
      </c>
      <c r="Y5" s="6" t="s">
        <v>46</v>
      </c>
      <c r="Z5" s="5" t="s">
        <v>67</v>
      </c>
      <c r="AA5" s="6" t="s">
        <v>68</v>
      </c>
      <c r="AB5" s="7">
        <v>0.19700230000000002</v>
      </c>
      <c r="AD5" s="8"/>
      <c r="AF5" s="8"/>
      <c r="AG5" s="8"/>
    </row>
    <row r="6" spans="1:33" x14ac:dyDescent="0.2">
      <c r="A6" s="12">
        <v>1419</v>
      </c>
      <c r="B6" s="13" t="s">
        <v>37</v>
      </c>
      <c r="C6" s="13">
        <v>43242</v>
      </c>
      <c r="D6" s="5">
        <v>54</v>
      </c>
      <c r="E6" s="6" t="s">
        <v>63</v>
      </c>
      <c r="F6" s="5" t="s">
        <v>78</v>
      </c>
      <c r="G6" s="6" t="s">
        <v>79</v>
      </c>
      <c r="H6" s="5" t="str">
        <f>"000069"</f>
        <v>000069</v>
      </c>
      <c r="I6" s="4">
        <v>42406</v>
      </c>
      <c r="J6" s="5" t="str">
        <f>"000199"</f>
        <v>000199</v>
      </c>
      <c r="K6" s="4">
        <v>42765</v>
      </c>
      <c r="L6" s="5" t="str">
        <f>"000531"</f>
        <v>000531</v>
      </c>
      <c r="M6" s="4">
        <v>42766</v>
      </c>
      <c r="N6" s="5">
        <v>16</v>
      </c>
      <c r="O6" s="5" t="str">
        <f>"001525"</f>
        <v>001525</v>
      </c>
      <c r="P6" s="4">
        <v>43238</v>
      </c>
      <c r="Q6" s="7">
        <v>9.2033299999999993</v>
      </c>
      <c r="R6" s="7">
        <v>1.15995</v>
      </c>
      <c r="S6" s="7">
        <v>8.0433800000000009</v>
      </c>
      <c r="T6" s="5">
        <v>59</v>
      </c>
      <c r="U6" s="4">
        <v>43242</v>
      </c>
      <c r="V6" s="5">
        <v>9342551777</v>
      </c>
      <c r="W6" s="6" t="s">
        <v>80</v>
      </c>
      <c r="X6" s="5" t="s">
        <v>31</v>
      </c>
      <c r="Y6" s="6" t="s">
        <v>32</v>
      </c>
      <c r="Z6" s="5" t="s">
        <v>67</v>
      </c>
      <c r="AA6" s="6" t="s">
        <v>68</v>
      </c>
      <c r="AB6" s="7">
        <v>9.2033299999999998E-2</v>
      </c>
      <c r="AD6" s="8"/>
      <c r="AF6" s="8"/>
      <c r="AG6" s="8"/>
    </row>
    <row r="7" spans="1:33" x14ac:dyDescent="0.2">
      <c r="A7" s="12">
        <v>1779</v>
      </c>
      <c r="B7" s="13" t="s">
        <v>36</v>
      </c>
      <c r="C7" s="13">
        <v>43257</v>
      </c>
      <c r="D7" s="5">
        <v>54</v>
      </c>
      <c r="E7" s="6" t="s">
        <v>63</v>
      </c>
      <c r="F7" s="5" t="s">
        <v>81</v>
      </c>
      <c r="G7" s="6" t="s">
        <v>82</v>
      </c>
      <c r="H7" s="5" t="str">
        <f>"000122"</f>
        <v>000122</v>
      </c>
      <c r="I7" s="4">
        <v>42530</v>
      </c>
      <c r="J7" s="5" t="str">
        <f>"000133"</f>
        <v>000133</v>
      </c>
      <c r="K7" s="4">
        <v>42628</v>
      </c>
      <c r="L7" s="5" t="str">
        <f>"000361"</f>
        <v>000361</v>
      </c>
      <c r="M7" s="4">
        <v>42628</v>
      </c>
      <c r="N7" s="5">
        <v>16</v>
      </c>
      <c r="O7" s="5" t="str">
        <f>"002158"</f>
        <v>002158</v>
      </c>
      <c r="P7" s="4">
        <v>43255</v>
      </c>
      <c r="Q7" s="7">
        <v>10.35385</v>
      </c>
      <c r="R7" s="7">
        <v>1.3549599999999999</v>
      </c>
      <c r="S7" s="7">
        <v>8.9988899999999994</v>
      </c>
      <c r="T7" s="5">
        <v>71</v>
      </c>
      <c r="U7" s="4">
        <v>43257</v>
      </c>
      <c r="V7" s="5">
        <v>7411130074</v>
      </c>
      <c r="W7" s="6" t="s">
        <v>83</v>
      </c>
      <c r="X7" s="5" t="s">
        <v>31</v>
      </c>
      <c r="Y7" s="6" t="s">
        <v>32</v>
      </c>
      <c r="Z7" s="5" t="s">
        <v>67</v>
      </c>
      <c r="AA7" s="6" t="s">
        <v>68</v>
      </c>
      <c r="AB7" s="7">
        <v>0.10353849999999999</v>
      </c>
      <c r="AD7" s="8"/>
      <c r="AF7" s="8"/>
      <c r="AG7" s="8"/>
    </row>
    <row r="8" spans="1:33" x14ac:dyDescent="0.2">
      <c r="A8" s="12">
        <v>2087</v>
      </c>
      <c r="B8" s="13" t="s">
        <v>36</v>
      </c>
      <c r="C8" s="13">
        <v>43264</v>
      </c>
      <c r="D8" s="5">
        <v>54</v>
      </c>
      <c r="E8" s="6" t="s">
        <v>63</v>
      </c>
      <c r="F8" s="5" t="s">
        <v>84</v>
      </c>
      <c r="G8" s="6" t="s">
        <v>85</v>
      </c>
      <c r="H8" s="5" t="str">
        <f>"160"</f>
        <v>160</v>
      </c>
      <c r="I8" s="4">
        <v>4</v>
      </c>
      <c r="J8" s="5" t="str">
        <f>"000020"</f>
        <v>000020</v>
      </c>
      <c r="K8" s="4">
        <v>43230</v>
      </c>
      <c r="L8" s="5" t="str">
        <f>"000051"</f>
        <v>000051</v>
      </c>
      <c r="M8" s="4">
        <v>43230</v>
      </c>
      <c r="N8" s="5">
        <v>16</v>
      </c>
      <c r="O8" s="5" t="str">
        <f>"002462"</f>
        <v>002462</v>
      </c>
      <c r="P8" s="4">
        <v>43263</v>
      </c>
      <c r="Q8" s="7">
        <v>37.940710000000003</v>
      </c>
      <c r="R8" s="7">
        <v>1.5399700000000001</v>
      </c>
      <c r="S8" s="7">
        <v>36.400739999999999</v>
      </c>
      <c r="T8" s="5">
        <v>82</v>
      </c>
      <c r="U8" s="4">
        <v>43264</v>
      </c>
      <c r="V8" s="5">
        <v>9448479907</v>
      </c>
      <c r="W8" s="6" t="s">
        <v>86</v>
      </c>
      <c r="X8" s="5" t="s">
        <v>44</v>
      </c>
      <c r="Y8" s="6" t="s">
        <v>43</v>
      </c>
      <c r="Z8" s="5" t="s">
        <v>67</v>
      </c>
      <c r="AA8" s="6" t="s">
        <v>68</v>
      </c>
      <c r="AB8" s="7">
        <v>0.37940710000000005</v>
      </c>
      <c r="AD8" s="8"/>
      <c r="AF8" s="8"/>
      <c r="AG8" s="8"/>
    </row>
    <row r="9" spans="1:33" x14ac:dyDescent="0.2">
      <c r="A9" s="12">
        <v>2088</v>
      </c>
      <c r="B9" s="13" t="s">
        <v>36</v>
      </c>
      <c r="C9" s="13">
        <v>43264</v>
      </c>
      <c r="D9" s="5">
        <v>54</v>
      </c>
      <c r="E9" s="6" t="s">
        <v>63</v>
      </c>
      <c r="F9" s="5" t="s">
        <v>87</v>
      </c>
      <c r="G9" s="6" t="s">
        <v>88</v>
      </c>
      <c r="H9" s="5" t="str">
        <f>"160"</f>
        <v>160</v>
      </c>
      <c r="I9" s="4">
        <v>2</v>
      </c>
      <c r="J9" s="5" t="str">
        <f>"000019"</f>
        <v>000019</v>
      </c>
      <c r="K9" s="4">
        <v>43230</v>
      </c>
      <c r="L9" s="5" t="str">
        <f>"000052"</f>
        <v>000052</v>
      </c>
      <c r="M9" s="4">
        <v>43230</v>
      </c>
      <c r="N9" s="5">
        <v>16</v>
      </c>
      <c r="O9" s="5" t="str">
        <f>"002463"</f>
        <v>002463</v>
      </c>
      <c r="P9" s="4">
        <v>43263</v>
      </c>
      <c r="Q9" s="7">
        <v>23.380690000000001</v>
      </c>
      <c r="R9" s="7">
        <v>0.99494000000000005</v>
      </c>
      <c r="S9" s="7">
        <v>22.385750000000002</v>
      </c>
      <c r="T9" s="5">
        <v>82</v>
      </c>
      <c r="U9" s="4">
        <v>43264</v>
      </c>
      <c r="V9" s="5">
        <v>9448479907</v>
      </c>
      <c r="W9" s="6" t="s">
        <v>89</v>
      </c>
      <c r="X9" s="5" t="s">
        <v>44</v>
      </c>
      <c r="Y9" s="6" t="s">
        <v>43</v>
      </c>
      <c r="Z9" s="5" t="s">
        <v>67</v>
      </c>
      <c r="AA9" s="6" t="s">
        <v>68</v>
      </c>
      <c r="AB9" s="7">
        <v>0.23380690000000001</v>
      </c>
      <c r="AD9" s="8"/>
      <c r="AF9" s="8"/>
      <c r="AG9" s="8"/>
    </row>
    <row r="10" spans="1:33" x14ac:dyDescent="0.2">
      <c r="A10" s="12">
        <v>2524</v>
      </c>
      <c r="B10" s="13" t="s">
        <v>36</v>
      </c>
      <c r="C10" s="13">
        <v>43274</v>
      </c>
      <c r="D10" s="5">
        <v>54</v>
      </c>
      <c r="E10" s="6" t="s">
        <v>63</v>
      </c>
      <c r="F10" s="5" t="s">
        <v>90</v>
      </c>
      <c r="G10" s="6" t="s">
        <v>91</v>
      </c>
      <c r="H10" s="5" t="str">
        <f>"000136"</f>
        <v>000136</v>
      </c>
      <c r="I10" s="4">
        <v>42550</v>
      </c>
      <c r="J10" s="5" t="str">
        <f>"000134"</f>
        <v>000134</v>
      </c>
      <c r="K10" s="4">
        <v>42637</v>
      </c>
      <c r="L10" s="5" t="str">
        <f>"000373"</f>
        <v>000373</v>
      </c>
      <c r="M10" s="4">
        <v>42643</v>
      </c>
      <c r="N10" s="5">
        <v>16</v>
      </c>
      <c r="O10" s="5" t="str">
        <f>"002643"</f>
        <v>002643</v>
      </c>
      <c r="P10" s="4">
        <v>43269</v>
      </c>
      <c r="Q10" s="7">
        <v>9.9827399999999997</v>
      </c>
      <c r="R10" s="7">
        <v>1.3181799999999999</v>
      </c>
      <c r="S10" s="7">
        <v>8.6645599999999998</v>
      </c>
      <c r="T10" s="5">
        <v>99</v>
      </c>
      <c r="U10" s="4">
        <v>43274</v>
      </c>
      <c r="V10" s="5">
        <v>8095397196</v>
      </c>
      <c r="W10" s="6" t="s">
        <v>92</v>
      </c>
      <c r="X10" s="5" t="s">
        <v>31</v>
      </c>
      <c r="Y10" s="6" t="s">
        <v>32</v>
      </c>
      <c r="Z10" s="5" t="s">
        <v>67</v>
      </c>
      <c r="AA10" s="6" t="s">
        <v>68</v>
      </c>
      <c r="AB10" s="7">
        <v>9.9827399999999997E-2</v>
      </c>
      <c r="AD10" s="8"/>
      <c r="AF10" s="8"/>
      <c r="AG10" s="8"/>
    </row>
    <row r="11" spans="1:33" x14ac:dyDescent="0.2">
      <c r="A11" s="12">
        <v>2525</v>
      </c>
      <c r="B11" s="13" t="s">
        <v>36</v>
      </c>
      <c r="C11" s="13">
        <v>43274</v>
      </c>
      <c r="D11" s="5">
        <v>54</v>
      </c>
      <c r="E11" s="6" t="s">
        <v>63</v>
      </c>
      <c r="F11" s="5" t="s">
        <v>93</v>
      </c>
      <c r="G11" s="6" t="s">
        <v>94</v>
      </c>
      <c r="H11" s="5" t="str">
        <f>"000125"</f>
        <v>000125</v>
      </c>
      <c r="I11" s="4">
        <v>42450</v>
      </c>
      <c r="J11" s="5" t="str">
        <f>"000136"</f>
        <v>000136</v>
      </c>
      <c r="K11" s="4">
        <v>42637</v>
      </c>
      <c r="L11" s="5" t="str">
        <f>"000387"</f>
        <v>000387</v>
      </c>
      <c r="M11" s="4">
        <v>42671</v>
      </c>
      <c r="N11" s="5">
        <v>16</v>
      </c>
      <c r="O11" s="5" t="str">
        <f>"002870"</f>
        <v>002870</v>
      </c>
      <c r="P11" s="4">
        <v>43273</v>
      </c>
      <c r="Q11" s="7">
        <v>19.277799999999999</v>
      </c>
      <c r="R11" s="7">
        <v>2.5770499999999998</v>
      </c>
      <c r="S11" s="7">
        <v>16.700749999999999</v>
      </c>
      <c r="T11" s="5">
        <v>99</v>
      </c>
      <c r="U11" s="4">
        <v>43274</v>
      </c>
      <c r="V11" s="5">
        <v>9945629497</v>
      </c>
      <c r="W11" s="6" t="s">
        <v>95</v>
      </c>
      <c r="X11" s="5" t="s">
        <v>47</v>
      </c>
      <c r="Y11" s="6" t="s">
        <v>46</v>
      </c>
      <c r="Z11" s="5" t="s">
        <v>67</v>
      </c>
      <c r="AA11" s="6" t="s">
        <v>68</v>
      </c>
      <c r="AB11" s="7">
        <v>0.192778</v>
      </c>
      <c r="AD11" s="8"/>
      <c r="AF11" s="8"/>
      <c r="AG11" s="8"/>
    </row>
    <row r="12" spans="1:33" x14ac:dyDescent="0.2">
      <c r="A12" s="12">
        <v>2526</v>
      </c>
      <c r="B12" s="13" t="s">
        <v>36</v>
      </c>
      <c r="C12" s="13">
        <v>43274</v>
      </c>
      <c r="D12" s="5">
        <v>54</v>
      </c>
      <c r="E12" s="6" t="s">
        <v>63</v>
      </c>
      <c r="F12" s="5" t="s">
        <v>96</v>
      </c>
      <c r="G12" s="6" t="s">
        <v>97</v>
      </c>
      <c r="H12" s="5" t="str">
        <f>"000024"</f>
        <v>000024</v>
      </c>
      <c r="I12" s="4">
        <v>42467</v>
      </c>
      <c r="J12" s="5" t="str">
        <f>"O00139"</f>
        <v>O00139</v>
      </c>
      <c r="K12" s="4">
        <v>42621</v>
      </c>
      <c r="L12" s="5" t="str">
        <f>"000394"</f>
        <v>000394</v>
      </c>
      <c r="M12" s="4">
        <v>42671</v>
      </c>
      <c r="N12" s="5">
        <v>16</v>
      </c>
      <c r="O12" s="5" t="str">
        <f>"002871"</f>
        <v>002871</v>
      </c>
      <c r="P12" s="4">
        <v>43273</v>
      </c>
      <c r="Q12" s="7">
        <v>19.444400000000002</v>
      </c>
      <c r="R12" s="7">
        <v>2.6482000000000001</v>
      </c>
      <c r="S12" s="7">
        <v>16.796199999999999</v>
      </c>
      <c r="T12" s="5">
        <v>99</v>
      </c>
      <c r="U12" s="4">
        <v>43274</v>
      </c>
      <c r="V12" s="5">
        <v>9611508999</v>
      </c>
      <c r="W12" s="6" t="s">
        <v>61</v>
      </c>
      <c r="X12" s="5" t="s">
        <v>47</v>
      </c>
      <c r="Y12" s="6" t="s">
        <v>46</v>
      </c>
      <c r="Z12" s="5" t="s">
        <v>67</v>
      </c>
      <c r="AA12" s="6" t="s">
        <v>68</v>
      </c>
      <c r="AB12" s="7">
        <v>0.19444400000000001</v>
      </c>
      <c r="AD12" s="8"/>
      <c r="AF12" s="8"/>
      <c r="AG12" s="8"/>
    </row>
    <row r="13" spans="1:33" x14ac:dyDescent="0.2">
      <c r="A13" s="12">
        <v>2828</v>
      </c>
      <c r="B13" s="13" t="s">
        <v>33</v>
      </c>
      <c r="C13" s="13">
        <v>43283</v>
      </c>
      <c r="D13" s="5">
        <v>54</v>
      </c>
      <c r="E13" s="6" t="s">
        <v>63</v>
      </c>
      <c r="F13" s="5" t="s">
        <v>98</v>
      </c>
      <c r="G13" s="6" t="s">
        <v>99</v>
      </c>
      <c r="H13" s="5" t="str">
        <f>"000082"</f>
        <v>000082</v>
      </c>
      <c r="I13" s="4">
        <v>42406</v>
      </c>
      <c r="J13" s="5" t="str">
        <f>"000689"</f>
        <v>000689</v>
      </c>
      <c r="K13" s="4">
        <v>42825</v>
      </c>
      <c r="L13" s="5" t="str">
        <f>"000689"</f>
        <v>000689</v>
      </c>
      <c r="M13" s="4">
        <v>42825</v>
      </c>
      <c r="N13" s="5">
        <v>16</v>
      </c>
      <c r="O13" s="5" t="str">
        <f>"002951"</f>
        <v>002951</v>
      </c>
      <c r="P13" s="4">
        <v>43276</v>
      </c>
      <c r="Q13" s="7">
        <v>4.7493800000000004</v>
      </c>
      <c r="R13" s="7">
        <v>0.58396000000000003</v>
      </c>
      <c r="S13" s="7">
        <v>4.1654200000000001</v>
      </c>
      <c r="T13" s="5">
        <v>108</v>
      </c>
      <c r="U13" s="4">
        <v>43283</v>
      </c>
      <c r="V13" s="5">
        <v>9845440830</v>
      </c>
      <c r="W13" s="6" t="s">
        <v>100</v>
      </c>
      <c r="X13" s="5" t="s">
        <v>31</v>
      </c>
      <c r="Y13" s="6" t="s">
        <v>32</v>
      </c>
      <c r="Z13" s="5" t="s">
        <v>67</v>
      </c>
      <c r="AA13" s="6" t="s">
        <v>68</v>
      </c>
      <c r="AB13" s="7">
        <v>4.7493800000000003E-2</v>
      </c>
      <c r="AD13" s="8"/>
      <c r="AF13" s="8"/>
      <c r="AG13" s="8"/>
    </row>
    <row r="14" spans="1:33" x14ac:dyDescent="0.2">
      <c r="A14" s="12">
        <v>3055</v>
      </c>
      <c r="B14" s="13" t="s">
        <v>33</v>
      </c>
      <c r="C14" s="13">
        <v>43287</v>
      </c>
      <c r="D14" s="5">
        <v>54</v>
      </c>
      <c r="E14" s="6" t="s">
        <v>63</v>
      </c>
      <c r="F14" s="5" t="s">
        <v>101</v>
      </c>
      <c r="G14" s="6" t="s">
        <v>102</v>
      </c>
      <c r="H14" s="5" t="str">
        <f>"000174"</f>
        <v>000174</v>
      </c>
      <c r="I14" s="4">
        <v>42457</v>
      </c>
      <c r="J14" s="5" t="str">
        <f>"000145"</f>
        <v>000145</v>
      </c>
      <c r="K14" s="4">
        <v>42678</v>
      </c>
      <c r="L14" s="5" t="str">
        <f>"000414"</f>
        <v>000414</v>
      </c>
      <c r="M14" s="4">
        <v>42692</v>
      </c>
      <c r="N14" s="5">
        <v>16</v>
      </c>
      <c r="O14" s="5" t="str">
        <f>"003225"</f>
        <v>003225</v>
      </c>
      <c r="P14" s="4">
        <v>43283</v>
      </c>
      <c r="Q14" s="7">
        <v>19.126090000000001</v>
      </c>
      <c r="R14" s="7">
        <v>2.71252</v>
      </c>
      <c r="S14" s="7">
        <v>16.41357</v>
      </c>
      <c r="T14" s="5">
        <v>113</v>
      </c>
      <c r="U14" s="4">
        <v>43287</v>
      </c>
      <c r="V14" s="5">
        <v>9845440830</v>
      </c>
      <c r="W14" s="6" t="s">
        <v>103</v>
      </c>
      <c r="X14" s="5" t="s">
        <v>47</v>
      </c>
      <c r="Y14" s="6" t="s">
        <v>46</v>
      </c>
      <c r="Z14" s="5" t="s">
        <v>67</v>
      </c>
      <c r="AA14" s="6" t="s">
        <v>68</v>
      </c>
      <c r="AB14" s="7">
        <v>0.19126090000000001</v>
      </c>
      <c r="AD14" s="8"/>
      <c r="AF14" s="8"/>
      <c r="AG14" s="8"/>
    </row>
    <row r="15" spans="1:33" x14ac:dyDescent="0.2">
      <c r="A15" s="12">
        <v>3056</v>
      </c>
      <c r="B15" s="13" t="s">
        <v>33</v>
      </c>
      <c r="C15" s="13">
        <v>43287</v>
      </c>
      <c r="D15" s="5">
        <v>54</v>
      </c>
      <c r="E15" s="6" t="s">
        <v>63</v>
      </c>
      <c r="F15" s="5" t="s">
        <v>104</v>
      </c>
      <c r="G15" s="6" t="s">
        <v>105</v>
      </c>
      <c r="H15" s="5" t="str">
        <f>"000098"</f>
        <v>000098</v>
      </c>
      <c r="I15" s="4">
        <v>42522</v>
      </c>
      <c r="J15" s="5" t="str">
        <f>"000151"</f>
        <v>000151</v>
      </c>
      <c r="K15" s="4">
        <v>42686</v>
      </c>
      <c r="L15" s="5" t="str">
        <f>"000423"</f>
        <v>000423</v>
      </c>
      <c r="M15" s="4">
        <v>42702</v>
      </c>
      <c r="N15" s="5">
        <v>16</v>
      </c>
      <c r="O15" s="5" t="str">
        <f>"003228"</f>
        <v>003228</v>
      </c>
      <c r="P15" s="4">
        <v>43283</v>
      </c>
      <c r="Q15" s="7">
        <v>19.002970000000001</v>
      </c>
      <c r="R15" s="7">
        <v>2.5272999999999999</v>
      </c>
      <c r="S15" s="7">
        <v>16.475670000000001</v>
      </c>
      <c r="T15" s="5">
        <v>113</v>
      </c>
      <c r="U15" s="4">
        <v>43287</v>
      </c>
      <c r="V15" s="5">
        <v>9535810447</v>
      </c>
      <c r="W15" s="6" t="s">
        <v>106</v>
      </c>
      <c r="X15" s="5" t="s">
        <v>47</v>
      </c>
      <c r="Y15" s="6" t="s">
        <v>46</v>
      </c>
      <c r="Z15" s="5" t="s">
        <v>67</v>
      </c>
      <c r="AA15" s="6" t="s">
        <v>68</v>
      </c>
      <c r="AB15" s="7">
        <v>0.19002970000000002</v>
      </c>
      <c r="AD15" s="8"/>
      <c r="AF15" s="8"/>
      <c r="AG15" s="8"/>
    </row>
    <row r="16" spans="1:33" x14ac:dyDescent="0.2">
      <c r="A16" s="12">
        <v>3152</v>
      </c>
      <c r="B16" s="13" t="s">
        <v>33</v>
      </c>
      <c r="C16" s="13">
        <v>43290</v>
      </c>
      <c r="D16" s="5">
        <v>54</v>
      </c>
      <c r="E16" s="6" t="s">
        <v>63</v>
      </c>
      <c r="F16" s="5" t="s">
        <v>107</v>
      </c>
      <c r="G16" s="6" t="s">
        <v>108</v>
      </c>
      <c r="H16" s="5" t="str">
        <f>"000170"</f>
        <v>000170</v>
      </c>
      <c r="I16" s="4">
        <v>42012</v>
      </c>
      <c r="J16" s="5" t="str">
        <f>"000148"</f>
        <v>000148</v>
      </c>
      <c r="K16" s="4">
        <v>42689</v>
      </c>
      <c r="L16" s="5" t="str">
        <f>"000422"</f>
        <v>000422</v>
      </c>
      <c r="M16" s="4">
        <v>42700</v>
      </c>
      <c r="N16" s="5">
        <v>15</v>
      </c>
      <c r="O16" s="5" t="str">
        <f>"003434"</f>
        <v>003434</v>
      </c>
      <c r="P16" s="4">
        <v>43288</v>
      </c>
      <c r="Q16" s="7">
        <v>9.2638300000000005</v>
      </c>
      <c r="R16" s="7">
        <v>1.1817899999999999</v>
      </c>
      <c r="S16" s="7">
        <v>8.0820399999999992</v>
      </c>
      <c r="T16" s="5">
        <v>117</v>
      </c>
      <c r="U16" s="4">
        <v>43290</v>
      </c>
      <c r="V16" s="5">
        <v>9945896369</v>
      </c>
      <c r="W16" s="6" t="s">
        <v>109</v>
      </c>
      <c r="X16" s="5" t="s">
        <v>31</v>
      </c>
      <c r="Y16" s="6" t="s">
        <v>32</v>
      </c>
      <c r="Z16" s="5" t="s">
        <v>67</v>
      </c>
      <c r="AA16" s="6" t="s">
        <v>68</v>
      </c>
      <c r="AB16" s="7">
        <v>9.2638300000000007E-2</v>
      </c>
      <c r="AD16" s="8"/>
      <c r="AF16" s="8"/>
      <c r="AG16" s="8"/>
    </row>
    <row r="17" spans="1:33" x14ac:dyDescent="0.2">
      <c r="A17" s="12">
        <v>3281</v>
      </c>
      <c r="B17" s="13" t="s">
        <v>33</v>
      </c>
      <c r="C17" s="13">
        <v>43297</v>
      </c>
      <c r="D17" s="5">
        <v>54</v>
      </c>
      <c r="E17" s="6" t="s">
        <v>63</v>
      </c>
      <c r="F17" s="5" t="s">
        <v>110</v>
      </c>
      <c r="G17" s="6" t="s">
        <v>111</v>
      </c>
      <c r="H17" s="5" t="str">
        <f>"000023"</f>
        <v>000023</v>
      </c>
      <c r="I17" s="4">
        <v>42467</v>
      </c>
      <c r="J17" s="5" t="str">
        <f>"000182"</f>
        <v>000182</v>
      </c>
      <c r="K17" s="4">
        <v>42734</v>
      </c>
      <c r="L17" s="5" t="str">
        <f>"000496"</f>
        <v>000496</v>
      </c>
      <c r="M17" s="4">
        <v>42734</v>
      </c>
      <c r="N17" s="5">
        <v>16</v>
      </c>
      <c r="O17" s="5" t="str">
        <f>"003700"</f>
        <v>003700</v>
      </c>
      <c r="P17" s="4">
        <v>43293</v>
      </c>
      <c r="Q17" s="7">
        <v>19.898309999999999</v>
      </c>
      <c r="R17" s="7">
        <v>2.53348</v>
      </c>
      <c r="S17" s="7">
        <v>17.364830000000001</v>
      </c>
      <c r="T17" s="5">
        <v>125</v>
      </c>
      <c r="U17" s="4">
        <v>43297</v>
      </c>
      <c r="V17" s="5">
        <v>9611508999</v>
      </c>
      <c r="W17" s="6" t="s">
        <v>80</v>
      </c>
      <c r="X17" s="5" t="s">
        <v>47</v>
      </c>
      <c r="Y17" s="6" t="s">
        <v>46</v>
      </c>
      <c r="Z17" s="5" t="s">
        <v>67</v>
      </c>
      <c r="AA17" s="6" t="s">
        <v>68</v>
      </c>
      <c r="AB17" s="7">
        <v>0.1989831</v>
      </c>
      <c r="AD17" s="8"/>
      <c r="AF17" s="8"/>
      <c r="AG17" s="8"/>
    </row>
    <row r="18" spans="1:33" x14ac:dyDescent="0.2">
      <c r="A18" s="12">
        <v>3282</v>
      </c>
      <c r="B18" s="13" t="s">
        <v>33</v>
      </c>
      <c r="C18" s="13">
        <v>43297</v>
      </c>
      <c r="D18" s="5">
        <v>54</v>
      </c>
      <c r="E18" s="6" t="s">
        <v>63</v>
      </c>
      <c r="F18" s="5" t="s">
        <v>112</v>
      </c>
      <c r="G18" s="6" t="s">
        <v>113</v>
      </c>
      <c r="H18" s="5" t="str">
        <f>"000068"</f>
        <v>000068</v>
      </c>
      <c r="I18" s="4">
        <v>42508</v>
      </c>
      <c r="J18" s="5" t="str">
        <f>"000183"</f>
        <v>000183</v>
      </c>
      <c r="K18" s="4">
        <v>42734</v>
      </c>
      <c r="L18" s="5" t="str">
        <f>"000497"</f>
        <v>000497</v>
      </c>
      <c r="M18" s="4">
        <v>42734</v>
      </c>
      <c r="N18" s="5">
        <v>16</v>
      </c>
      <c r="O18" s="5" t="str">
        <f>"003710"</f>
        <v>003710</v>
      </c>
      <c r="P18" s="4">
        <v>43293</v>
      </c>
      <c r="Q18" s="7">
        <v>14.093489999999999</v>
      </c>
      <c r="R18" s="7">
        <v>1.8425499999999999</v>
      </c>
      <c r="S18" s="7">
        <v>12.25094</v>
      </c>
      <c r="T18" s="5">
        <v>125</v>
      </c>
      <c r="U18" s="4">
        <v>43297</v>
      </c>
      <c r="V18" s="5">
        <v>9611508999</v>
      </c>
      <c r="W18" s="6" t="s">
        <v>114</v>
      </c>
      <c r="X18" s="5" t="s">
        <v>31</v>
      </c>
      <c r="Y18" s="6" t="s">
        <v>32</v>
      </c>
      <c r="Z18" s="5" t="s">
        <v>67</v>
      </c>
      <c r="AA18" s="6" t="s">
        <v>68</v>
      </c>
      <c r="AB18" s="7">
        <v>0.1409349</v>
      </c>
      <c r="AD18" s="8"/>
      <c r="AF18" s="8"/>
      <c r="AG18" s="8"/>
    </row>
    <row r="19" spans="1:33" x14ac:dyDescent="0.2">
      <c r="A19" s="12">
        <v>3479</v>
      </c>
      <c r="B19" s="13" t="s">
        <v>33</v>
      </c>
      <c r="C19" s="13">
        <v>43299</v>
      </c>
      <c r="D19" s="5">
        <v>54</v>
      </c>
      <c r="E19" s="6" t="s">
        <v>63</v>
      </c>
      <c r="F19" s="5" t="s">
        <v>115</v>
      </c>
      <c r="G19" s="6" t="s">
        <v>116</v>
      </c>
      <c r="H19" s="5" t="str">
        <f>"000014"</f>
        <v>000014</v>
      </c>
      <c r="I19" s="4">
        <v>42625</v>
      </c>
      <c r="J19" s="5" t="str">
        <f>"000003"</f>
        <v>000003</v>
      </c>
      <c r="K19" s="4">
        <v>43194</v>
      </c>
      <c r="L19" s="5" t="str">
        <f>"000003"</f>
        <v>000003</v>
      </c>
      <c r="M19" s="4">
        <v>43194</v>
      </c>
      <c r="N19" s="5">
        <v>16</v>
      </c>
      <c r="O19" s="5" t="str">
        <f>"004324"</f>
        <v>004324</v>
      </c>
      <c r="P19" s="4">
        <v>43306</v>
      </c>
      <c r="Q19" s="7">
        <v>15.42703</v>
      </c>
      <c r="R19" s="7">
        <v>1.8713</v>
      </c>
      <c r="S19" s="7">
        <v>13.555730000000001</v>
      </c>
      <c r="T19" s="5">
        <v>127</v>
      </c>
      <c r="U19" s="4">
        <v>43299</v>
      </c>
      <c r="V19" s="5">
        <v>9845194409</v>
      </c>
      <c r="W19" s="6" t="s">
        <v>117</v>
      </c>
      <c r="X19" s="5" t="s">
        <v>34</v>
      </c>
      <c r="Y19" s="6" t="s">
        <v>35</v>
      </c>
      <c r="Z19" s="5" t="s">
        <v>59</v>
      </c>
      <c r="AA19" s="6" t="s">
        <v>60</v>
      </c>
      <c r="AB19" s="7">
        <v>0.1542703</v>
      </c>
      <c r="AD19" s="8"/>
      <c r="AF19" s="8"/>
      <c r="AG19" s="8"/>
    </row>
    <row r="20" spans="1:33" x14ac:dyDescent="0.2">
      <c r="A20" s="12">
        <v>4095</v>
      </c>
      <c r="B20" s="13" t="s">
        <v>33</v>
      </c>
      <c r="C20" s="13">
        <v>43308</v>
      </c>
      <c r="D20" s="5">
        <v>54</v>
      </c>
      <c r="E20" s="6" t="s">
        <v>63</v>
      </c>
      <c r="F20" s="5" t="s">
        <v>115</v>
      </c>
      <c r="G20" s="6" t="s">
        <v>116</v>
      </c>
      <c r="H20" s="5" t="str">
        <f>"000014"</f>
        <v>000014</v>
      </c>
      <c r="I20" s="4">
        <v>42625</v>
      </c>
      <c r="J20" s="5" t="str">
        <f>"000003"</f>
        <v>000003</v>
      </c>
      <c r="K20" s="4">
        <v>43194</v>
      </c>
      <c r="L20" s="5" t="str">
        <f>"000003"</f>
        <v>000003</v>
      </c>
      <c r="M20" s="4">
        <v>43194</v>
      </c>
      <c r="N20" s="5">
        <v>16</v>
      </c>
      <c r="O20" s="5" t="str">
        <f>"004324"</f>
        <v>004324</v>
      </c>
      <c r="P20" s="4">
        <v>43306</v>
      </c>
      <c r="Q20" s="7">
        <v>6.3109599999999997</v>
      </c>
      <c r="R20" s="7">
        <v>0.78049000000000002</v>
      </c>
      <c r="S20" s="7">
        <v>5.5304700000000002</v>
      </c>
      <c r="T20" s="5">
        <v>146</v>
      </c>
      <c r="U20" s="4">
        <v>43308</v>
      </c>
      <c r="V20" s="5">
        <v>9845194409</v>
      </c>
      <c r="W20" s="6" t="s">
        <v>117</v>
      </c>
      <c r="X20" s="5" t="s">
        <v>34</v>
      </c>
      <c r="Y20" s="6" t="s">
        <v>35</v>
      </c>
      <c r="Z20" s="5" t="s">
        <v>59</v>
      </c>
      <c r="AA20" s="6" t="s">
        <v>60</v>
      </c>
      <c r="AB20" s="7">
        <v>6.3109600000000002E-2</v>
      </c>
      <c r="AD20" s="8"/>
      <c r="AF20" s="8"/>
      <c r="AG20" s="8"/>
    </row>
    <row r="21" spans="1:33" x14ac:dyDescent="0.2">
      <c r="A21" s="12">
        <v>4096</v>
      </c>
      <c r="B21" s="13" t="s">
        <v>33</v>
      </c>
      <c r="C21" s="13">
        <v>43308</v>
      </c>
      <c r="D21" s="5">
        <v>54</v>
      </c>
      <c r="E21" s="6" t="s">
        <v>63</v>
      </c>
      <c r="F21" s="5" t="s">
        <v>115</v>
      </c>
      <c r="G21" s="6" t="s">
        <v>116</v>
      </c>
      <c r="H21" s="5" t="str">
        <f>"000014"</f>
        <v>000014</v>
      </c>
      <c r="I21" s="4">
        <v>42625</v>
      </c>
      <c r="J21" s="5" t="str">
        <f>"000003"</f>
        <v>000003</v>
      </c>
      <c r="K21" s="4">
        <v>43194</v>
      </c>
      <c r="L21" s="5" t="str">
        <f>"000003"</f>
        <v>000003</v>
      </c>
      <c r="M21" s="4">
        <v>43194</v>
      </c>
      <c r="N21" s="5">
        <v>16</v>
      </c>
      <c r="O21" s="5" t="str">
        <f>"004324"</f>
        <v>004324</v>
      </c>
      <c r="P21" s="4">
        <v>43306</v>
      </c>
      <c r="Q21" s="7">
        <v>18.45384</v>
      </c>
      <c r="R21" s="7">
        <v>2.25345</v>
      </c>
      <c r="S21" s="7">
        <v>16.200389999999999</v>
      </c>
      <c r="T21" s="5">
        <v>146</v>
      </c>
      <c r="U21" s="4">
        <v>43308</v>
      </c>
      <c r="V21" s="5">
        <v>9845194409</v>
      </c>
      <c r="W21" s="6" t="s">
        <v>117</v>
      </c>
      <c r="X21" s="5" t="s">
        <v>34</v>
      </c>
      <c r="Y21" s="6" t="s">
        <v>35</v>
      </c>
      <c r="Z21" s="5" t="s">
        <v>59</v>
      </c>
      <c r="AA21" s="6" t="s">
        <v>60</v>
      </c>
      <c r="AB21" s="7">
        <v>0.18453839999999999</v>
      </c>
      <c r="AD21" s="8"/>
      <c r="AF21" s="8"/>
      <c r="AG21" s="8"/>
    </row>
    <row r="22" spans="1:33" x14ac:dyDescent="0.2">
      <c r="A22" s="12">
        <v>4431</v>
      </c>
      <c r="B22" s="13" t="s">
        <v>30</v>
      </c>
      <c r="C22" s="13">
        <v>43318</v>
      </c>
      <c r="D22" s="5">
        <v>54</v>
      </c>
      <c r="E22" s="6" t="s">
        <v>63</v>
      </c>
      <c r="F22" s="5" t="s">
        <v>118</v>
      </c>
      <c r="G22" s="6" t="s">
        <v>119</v>
      </c>
      <c r="H22" s="5" t="str">
        <f>"000194"</f>
        <v>000194</v>
      </c>
      <c r="I22" s="4">
        <v>42734</v>
      </c>
      <c r="J22" s="5" t="str">
        <f>"000042"</f>
        <v>000042</v>
      </c>
      <c r="K22" s="4">
        <v>42914</v>
      </c>
      <c r="L22" s="5" t="str">
        <f>"000140"</f>
        <v>000140</v>
      </c>
      <c r="M22" s="4">
        <v>42916</v>
      </c>
      <c r="N22" s="5">
        <v>16</v>
      </c>
      <c r="O22" s="5" t="str">
        <f>"004748"</f>
        <v>004748</v>
      </c>
      <c r="P22" s="4">
        <v>43314</v>
      </c>
      <c r="Q22" s="7">
        <v>3.5893999999999999</v>
      </c>
      <c r="R22" s="7">
        <v>0.41559000000000001</v>
      </c>
      <c r="S22" s="7">
        <v>3.17381</v>
      </c>
      <c r="T22" s="5">
        <v>160</v>
      </c>
      <c r="U22" s="4">
        <v>43318</v>
      </c>
      <c r="V22" s="5">
        <v>9535494687</v>
      </c>
      <c r="W22" s="6" t="s">
        <v>120</v>
      </c>
      <c r="X22" s="5" t="s">
        <v>121</v>
      </c>
      <c r="Y22" s="6" t="s">
        <v>122</v>
      </c>
      <c r="Z22" s="5" t="s">
        <v>67</v>
      </c>
      <c r="AA22" s="6" t="s">
        <v>68</v>
      </c>
      <c r="AB22" s="7">
        <v>3.5894000000000002E-2</v>
      </c>
      <c r="AD22" s="8"/>
      <c r="AF22" s="8"/>
      <c r="AG22" s="8"/>
    </row>
    <row r="23" spans="1:33" x14ac:dyDescent="0.2">
      <c r="A23" s="12">
        <v>4779</v>
      </c>
      <c r="B23" s="13" t="s">
        <v>30</v>
      </c>
      <c r="C23" s="13">
        <v>43326</v>
      </c>
      <c r="D23" s="5">
        <v>54</v>
      </c>
      <c r="E23" s="6" t="s">
        <v>63</v>
      </c>
      <c r="F23" s="5" t="s">
        <v>123</v>
      </c>
      <c r="G23" s="6" t="s">
        <v>124</v>
      </c>
      <c r="H23" s="5" t="str">
        <f>"000180"</f>
        <v>000180</v>
      </c>
      <c r="I23" s="4">
        <v>41629</v>
      </c>
      <c r="J23" s="5" t="str">
        <f>"000236"</f>
        <v>000236</v>
      </c>
      <c r="K23" s="4">
        <v>42809</v>
      </c>
      <c r="L23" s="5" t="str">
        <f>"000639"</f>
        <v>000639</v>
      </c>
      <c r="M23" s="4">
        <v>42809</v>
      </c>
      <c r="N23" s="5">
        <v>13</v>
      </c>
      <c r="O23" s="5" t="str">
        <f>"005086"</f>
        <v>005086</v>
      </c>
      <c r="P23" s="4">
        <v>43322</v>
      </c>
      <c r="Q23" s="7">
        <v>17.81176</v>
      </c>
      <c r="R23" s="7">
        <v>2.3177099999999999</v>
      </c>
      <c r="S23" s="7">
        <v>15.49405</v>
      </c>
      <c r="T23" s="5">
        <v>170</v>
      </c>
      <c r="U23" s="4">
        <v>43326</v>
      </c>
      <c r="V23" s="5">
        <v>9845369684</v>
      </c>
      <c r="W23" s="6" t="s">
        <v>109</v>
      </c>
      <c r="X23" s="5" t="s">
        <v>31</v>
      </c>
      <c r="Y23" s="6" t="s">
        <v>32</v>
      </c>
      <c r="Z23" s="5" t="s">
        <v>67</v>
      </c>
      <c r="AA23" s="6" t="s">
        <v>68</v>
      </c>
      <c r="AB23" s="7">
        <v>0.17811759999999999</v>
      </c>
      <c r="AD23" s="8"/>
      <c r="AF23" s="8"/>
      <c r="AG23" s="8"/>
    </row>
    <row r="24" spans="1:33" x14ac:dyDescent="0.2">
      <c r="A24" s="12">
        <v>4780</v>
      </c>
      <c r="B24" s="13" t="s">
        <v>30</v>
      </c>
      <c r="C24" s="13">
        <v>43326</v>
      </c>
      <c r="D24" s="5">
        <v>54</v>
      </c>
      <c r="E24" s="6" t="s">
        <v>63</v>
      </c>
      <c r="F24" s="5" t="s">
        <v>125</v>
      </c>
      <c r="G24" s="6" t="s">
        <v>126</v>
      </c>
      <c r="H24" s="5" t="str">
        <f>"00"</f>
        <v>00</v>
      </c>
      <c r="I24" s="4">
        <v>196</v>
      </c>
      <c r="J24" s="5" t="str">
        <f>"000027"</f>
        <v>000027</v>
      </c>
      <c r="K24" s="4">
        <v>43000</v>
      </c>
      <c r="L24" s="5" t="str">
        <f>"000069"</f>
        <v>000069</v>
      </c>
      <c r="M24" s="4">
        <v>43000</v>
      </c>
      <c r="N24" s="5">
        <v>17</v>
      </c>
      <c r="O24" s="5" t="str">
        <f>"004970"</f>
        <v>004970</v>
      </c>
      <c r="P24" s="4">
        <v>43320</v>
      </c>
      <c r="Q24" s="7">
        <v>8.7692399999999999</v>
      </c>
      <c r="R24" s="7">
        <v>0.9909</v>
      </c>
      <c r="S24" s="7">
        <v>7.77834</v>
      </c>
      <c r="T24" s="5">
        <v>171</v>
      </c>
      <c r="U24" s="4">
        <v>43326</v>
      </c>
      <c r="V24" s="5">
        <v>9448672620</v>
      </c>
      <c r="W24" s="6" t="s">
        <v>127</v>
      </c>
      <c r="X24" s="5" t="s">
        <v>52</v>
      </c>
      <c r="Y24" s="6" t="s">
        <v>51</v>
      </c>
      <c r="Z24" s="5" t="s">
        <v>67</v>
      </c>
      <c r="AA24" s="6" t="s">
        <v>68</v>
      </c>
      <c r="AB24" s="7">
        <v>8.7692400000000004E-2</v>
      </c>
      <c r="AD24" s="8"/>
      <c r="AF24" s="8"/>
      <c r="AG24" s="8"/>
    </row>
    <row r="25" spans="1:33" x14ac:dyDescent="0.2">
      <c r="A25" s="12">
        <v>4781</v>
      </c>
      <c r="B25" s="13" t="s">
        <v>30</v>
      </c>
      <c r="C25" s="13">
        <v>43326</v>
      </c>
      <c r="D25" s="5">
        <v>54</v>
      </c>
      <c r="E25" s="6" t="s">
        <v>63</v>
      </c>
      <c r="F25" s="5" t="s">
        <v>128</v>
      </c>
      <c r="G25" s="6" t="s">
        <v>129</v>
      </c>
      <c r="H25" s="5" t="str">
        <f>"00"</f>
        <v>00</v>
      </c>
      <c r="I25" s="4">
        <v>195</v>
      </c>
      <c r="J25" s="5" t="str">
        <f>"000028"</f>
        <v>000028</v>
      </c>
      <c r="K25" s="4">
        <v>43000</v>
      </c>
      <c r="L25" s="5" t="str">
        <f>"000070"</f>
        <v>000070</v>
      </c>
      <c r="M25" s="4">
        <v>43000</v>
      </c>
      <c r="N25" s="5">
        <v>17</v>
      </c>
      <c r="O25" s="5" t="str">
        <f>"004971"</f>
        <v>004971</v>
      </c>
      <c r="P25" s="4">
        <v>43320</v>
      </c>
      <c r="Q25" s="7">
        <v>1.94675</v>
      </c>
      <c r="R25" s="7">
        <v>0.21995999999999999</v>
      </c>
      <c r="S25" s="7">
        <v>1.72679</v>
      </c>
      <c r="T25" s="5">
        <v>171</v>
      </c>
      <c r="U25" s="4">
        <v>43326</v>
      </c>
      <c r="V25" s="5">
        <v>9448672620</v>
      </c>
      <c r="W25" s="6" t="s">
        <v>127</v>
      </c>
      <c r="X25" s="5" t="s">
        <v>52</v>
      </c>
      <c r="Y25" s="6" t="s">
        <v>51</v>
      </c>
      <c r="Z25" s="5" t="s">
        <v>67</v>
      </c>
      <c r="AA25" s="6" t="s">
        <v>68</v>
      </c>
      <c r="AB25" s="7">
        <v>1.9467499999999999E-2</v>
      </c>
      <c r="AD25" s="8"/>
      <c r="AF25" s="8"/>
      <c r="AG25" s="8"/>
    </row>
    <row r="26" spans="1:33" x14ac:dyDescent="0.2">
      <c r="A26" s="12">
        <v>4782</v>
      </c>
      <c r="B26" s="13" t="s">
        <v>30</v>
      </c>
      <c r="C26" s="13">
        <v>43326</v>
      </c>
      <c r="D26" s="5">
        <v>54</v>
      </c>
      <c r="E26" s="6" t="s">
        <v>63</v>
      </c>
      <c r="F26" s="5" t="s">
        <v>130</v>
      </c>
      <c r="G26" s="6" t="s">
        <v>131</v>
      </c>
      <c r="H26" s="5" t="str">
        <f>"000084"</f>
        <v>000084</v>
      </c>
      <c r="I26" s="4">
        <v>43035</v>
      </c>
      <c r="J26" s="5" t="str">
        <f>"000043"</f>
        <v>000043</v>
      </c>
      <c r="K26" s="4">
        <v>43035</v>
      </c>
      <c r="L26" s="5" t="str">
        <f>"000109"</f>
        <v>000109</v>
      </c>
      <c r="M26" s="4">
        <v>43035</v>
      </c>
      <c r="N26" s="5">
        <v>17</v>
      </c>
      <c r="O26" s="5" t="str">
        <f>"005034"</f>
        <v>005034</v>
      </c>
      <c r="P26" s="4">
        <v>43321</v>
      </c>
      <c r="Q26" s="7">
        <v>6.2813100000000004</v>
      </c>
      <c r="R26" s="7">
        <v>0.64695000000000003</v>
      </c>
      <c r="S26" s="7">
        <v>5.63436</v>
      </c>
      <c r="T26" s="5">
        <v>171</v>
      </c>
      <c r="U26" s="4">
        <v>43326</v>
      </c>
      <c r="V26" s="5">
        <v>9480828222</v>
      </c>
      <c r="W26" s="6" t="s">
        <v>132</v>
      </c>
      <c r="X26" s="5" t="s">
        <v>52</v>
      </c>
      <c r="Y26" s="6" t="s">
        <v>51</v>
      </c>
      <c r="Z26" s="5" t="s">
        <v>67</v>
      </c>
      <c r="AA26" s="6" t="s">
        <v>68</v>
      </c>
      <c r="AB26" s="7">
        <v>6.2813100000000011E-2</v>
      </c>
      <c r="AD26" s="8"/>
      <c r="AF26" s="8"/>
      <c r="AG26" s="8"/>
    </row>
    <row r="27" spans="1:33" x14ac:dyDescent="0.2">
      <c r="A27" s="12">
        <v>5086</v>
      </c>
      <c r="B27" s="13" t="s">
        <v>30</v>
      </c>
      <c r="C27" s="13">
        <v>43337</v>
      </c>
      <c r="D27" s="5">
        <v>54</v>
      </c>
      <c r="E27" s="6" t="s">
        <v>63</v>
      </c>
      <c r="F27" s="5" t="s">
        <v>133</v>
      </c>
      <c r="G27" s="6" t="s">
        <v>134</v>
      </c>
      <c r="H27" s="5" t="str">
        <f>"000015"</f>
        <v>000015</v>
      </c>
      <c r="I27" s="4">
        <v>42949</v>
      </c>
      <c r="J27" s="5" t="str">
        <f>"000017"</f>
        <v>000017</v>
      </c>
      <c r="K27" s="4">
        <v>42949</v>
      </c>
      <c r="L27" s="5" t="str">
        <f>"000017"</f>
        <v>000017</v>
      </c>
      <c r="M27" s="4">
        <v>42949</v>
      </c>
      <c r="N27" s="5">
        <v>15</v>
      </c>
      <c r="O27" s="5" t="str">
        <f>"005377"</f>
        <v>005377</v>
      </c>
      <c r="P27" s="4">
        <v>43335</v>
      </c>
      <c r="Q27" s="7">
        <v>1.01346</v>
      </c>
      <c r="R27" s="7">
        <v>0.12291000000000001</v>
      </c>
      <c r="S27" s="7">
        <v>0.89054999999999995</v>
      </c>
      <c r="T27" s="5">
        <v>180</v>
      </c>
      <c r="U27" s="4">
        <v>43337</v>
      </c>
      <c r="V27" s="5">
        <v>9342541594</v>
      </c>
      <c r="W27" s="6" t="s">
        <v>62</v>
      </c>
      <c r="X27" s="5" t="s">
        <v>57</v>
      </c>
      <c r="Y27" s="6" t="s">
        <v>58</v>
      </c>
      <c r="Z27" s="5" t="s">
        <v>59</v>
      </c>
      <c r="AA27" s="6" t="s">
        <v>60</v>
      </c>
      <c r="AB27" s="7">
        <v>1.0134600000000001E-2</v>
      </c>
      <c r="AD27" s="8"/>
      <c r="AF27" s="8"/>
      <c r="AG27" s="8"/>
    </row>
    <row r="28" spans="1:33" x14ac:dyDescent="0.2">
      <c r="A28" s="12">
        <v>5087</v>
      </c>
      <c r="B28" s="13" t="s">
        <v>30</v>
      </c>
      <c r="C28" s="13">
        <v>43337</v>
      </c>
      <c r="D28" s="5">
        <v>54</v>
      </c>
      <c r="E28" s="6" t="s">
        <v>63</v>
      </c>
      <c r="F28" s="5" t="s">
        <v>135</v>
      </c>
      <c r="G28" s="6" t="s">
        <v>136</v>
      </c>
      <c r="H28" s="5" t="str">
        <f>"000064"</f>
        <v>000064</v>
      </c>
      <c r="I28" s="4">
        <v>43312</v>
      </c>
      <c r="J28" s="5" t="str">
        <f>"000044"</f>
        <v>000044</v>
      </c>
      <c r="K28" s="4">
        <v>43313</v>
      </c>
      <c r="L28" s="5" t="str">
        <f>"000114"</f>
        <v>000114</v>
      </c>
      <c r="M28" s="4">
        <v>43313</v>
      </c>
      <c r="N28" s="5">
        <v>18</v>
      </c>
      <c r="O28" s="5" t="str">
        <f>"005247"</f>
        <v>005247</v>
      </c>
      <c r="P28" s="4">
        <v>43326</v>
      </c>
      <c r="Q28" s="7">
        <v>34.989739999999998</v>
      </c>
      <c r="R28" s="7">
        <v>3.4249999999999998</v>
      </c>
      <c r="S28" s="7">
        <v>31.56474</v>
      </c>
      <c r="T28" s="5">
        <v>181</v>
      </c>
      <c r="U28" s="4">
        <v>43337</v>
      </c>
      <c r="V28" s="5">
        <v>9480828222</v>
      </c>
      <c r="W28" s="6" t="s">
        <v>53</v>
      </c>
      <c r="X28" s="5" t="s">
        <v>50</v>
      </c>
      <c r="Y28" s="6" t="s">
        <v>49</v>
      </c>
      <c r="Z28" s="5" t="s">
        <v>67</v>
      </c>
      <c r="AA28" s="6" t="s">
        <v>68</v>
      </c>
      <c r="AB28" s="7">
        <v>0.34989739999999997</v>
      </c>
      <c r="AD28" s="8"/>
      <c r="AF28" s="8"/>
      <c r="AG28" s="8"/>
    </row>
    <row r="29" spans="1:33" x14ac:dyDescent="0.2">
      <c r="A29" s="12">
        <v>5088</v>
      </c>
      <c r="B29" s="13" t="s">
        <v>30</v>
      </c>
      <c r="C29" s="13">
        <v>43337</v>
      </c>
      <c r="D29" s="5">
        <v>54</v>
      </c>
      <c r="E29" s="6" t="s">
        <v>63</v>
      </c>
      <c r="F29" s="5" t="s">
        <v>137</v>
      </c>
      <c r="G29" s="6" t="s">
        <v>138</v>
      </c>
      <c r="H29" s="5" t="str">
        <f>"000062"</f>
        <v>000062</v>
      </c>
      <c r="I29" s="4">
        <v>43312</v>
      </c>
      <c r="J29" s="5" t="str">
        <f>"000042"</f>
        <v>000042</v>
      </c>
      <c r="K29" s="4">
        <v>43312</v>
      </c>
      <c r="L29" s="5" t="str">
        <f>"000112"</f>
        <v>000112</v>
      </c>
      <c r="M29" s="4">
        <v>43313</v>
      </c>
      <c r="N29" s="5">
        <v>18</v>
      </c>
      <c r="O29" s="5" t="str">
        <f>"005248"</f>
        <v>005248</v>
      </c>
      <c r="P29" s="4">
        <v>43326</v>
      </c>
      <c r="Q29" s="7">
        <v>34.993209999999998</v>
      </c>
      <c r="R29" s="7">
        <v>3.4249200000000002</v>
      </c>
      <c r="S29" s="7">
        <v>31.568290000000001</v>
      </c>
      <c r="T29" s="5">
        <v>181</v>
      </c>
      <c r="U29" s="4">
        <v>43337</v>
      </c>
      <c r="V29" s="5">
        <v>9480828222</v>
      </c>
      <c r="W29" s="6" t="s">
        <v>139</v>
      </c>
      <c r="X29" s="5" t="s">
        <v>50</v>
      </c>
      <c r="Y29" s="6" t="s">
        <v>49</v>
      </c>
      <c r="Z29" s="5" t="s">
        <v>67</v>
      </c>
      <c r="AA29" s="6" t="s">
        <v>68</v>
      </c>
      <c r="AB29" s="7">
        <v>0.34993209999999997</v>
      </c>
      <c r="AD29" s="8"/>
      <c r="AF29" s="8"/>
      <c r="AG29" s="8"/>
    </row>
    <row r="30" spans="1:33" x14ac:dyDescent="0.2">
      <c r="A30" s="12">
        <v>5089</v>
      </c>
      <c r="B30" s="13" t="s">
        <v>30</v>
      </c>
      <c r="C30" s="13">
        <v>43337</v>
      </c>
      <c r="D30" s="5">
        <v>54</v>
      </c>
      <c r="E30" s="6" t="s">
        <v>63</v>
      </c>
      <c r="F30" s="5" t="s">
        <v>140</v>
      </c>
      <c r="G30" s="6" t="s">
        <v>141</v>
      </c>
      <c r="H30" s="5" t="str">
        <f>"000065"</f>
        <v>000065</v>
      </c>
      <c r="I30" s="4">
        <v>43312</v>
      </c>
      <c r="J30" s="5" t="str">
        <f>"000045"</f>
        <v>000045</v>
      </c>
      <c r="K30" s="4">
        <v>43313</v>
      </c>
      <c r="L30" s="5" t="str">
        <f>"000115"</f>
        <v>000115</v>
      </c>
      <c r="M30" s="4">
        <v>43313</v>
      </c>
      <c r="N30" s="5">
        <v>18</v>
      </c>
      <c r="O30" s="5" t="str">
        <f>"005249"</f>
        <v>005249</v>
      </c>
      <c r="P30" s="4">
        <v>43326</v>
      </c>
      <c r="Q30" s="7">
        <v>29.99981</v>
      </c>
      <c r="R30" s="7">
        <v>2.94</v>
      </c>
      <c r="S30" s="7">
        <v>27.059809999999999</v>
      </c>
      <c r="T30" s="5">
        <v>181</v>
      </c>
      <c r="U30" s="4">
        <v>43337</v>
      </c>
      <c r="V30" s="5">
        <v>9480828222</v>
      </c>
      <c r="W30" s="6" t="s">
        <v>53</v>
      </c>
      <c r="X30" s="5" t="s">
        <v>50</v>
      </c>
      <c r="Y30" s="6" t="s">
        <v>49</v>
      </c>
      <c r="Z30" s="5" t="s">
        <v>67</v>
      </c>
      <c r="AA30" s="6" t="s">
        <v>68</v>
      </c>
      <c r="AB30" s="7">
        <v>0.29999809999999999</v>
      </c>
      <c r="AD30" s="8"/>
      <c r="AF30" s="8"/>
      <c r="AG30" s="8"/>
    </row>
    <row r="31" spans="1:33" x14ac:dyDescent="0.2">
      <c r="A31" s="12">
        <v>5090</v>
      </c>
      <c r="B31" s="13" t="s">
        <v>30</v>
      </c>
      <c r="C31" s="13">
        <v>43337</v>
      </c>
      <c r="D31" s="5">
        <v>54</v>
      </c>
      <c r="E31" s="6" t="s">
        <v>63</v>
      </c>
      <c r="F31" s="5" t="s">
        <v>142</v>
      </c>
      <c r="G31" s="6" t="s">
        <v>143</v>
      </c>
      <c r="H31" s="5" t="str">
        <f>"000063"</f>
        <v>000063</v>
      </c>
      <c r="I31" s="4">
        <v>43312</v>
      </c>
      <c r="J31" s="5" t="str">
        <f>"000043"</f>
        <v>000043</v>
      </c>
      <c r="K31" s="4">
        <v>43312</v>
      </c>
      <c r="L31" s="5" t="str">
        <f>"000113"</f>
        <v>000113</v>
      </c>
      <c r="M31" s="4">
        <v>43313</v>
      </c>
      <c r="N31" s="5">
        <v>18</v>
      </c>
      <c r="O31" s="5" t="str">
        <f>"005254"</f>
        <v>005254</v>
      </c>
      <c r="P31" s="4">
        <v>43326</v>
      </c>
      <c r="Q31" s="7">
        <v>49.983539999999998</v>
      </c>
      <c r="R31" s="7">
        <v>4.8994499999999999</v>
      </c>
      <c r="S31" s="7">
        <v>45.084090000000003</v>
      </c>
      <c r="T31" s="5">
        <v>181</v>
      </c>
      <c r="U31" s="4">
        <v>43337</v>
      </c>
      <c r="V31" s="5">
        <v>9480828222</v>
      </c>
      <c r="W31" s="6" t="s">
        <v>53</v>
      </c>
      <c r="X31" s="5" t="s">
        <v>50</v>
      </c>
      <c r="Y31" s="6" t="s">
        <v>49</v>
      </c>
      <c r="Z31" s="5" t="s">
        <v>67</v>
      </c>
      <c r="AA31" s="6" t="s">
        <v>68</v>
      </c>
      <c r="AB31" s="7">
        <v>0.49983539999999999</v>
      </c>
      <c r="AD31" s="8"/>
      <c r="AF31" s="8"/>
      <c r="AG31" s="8"/>
    </row>
    <row r="32" spans="1:33" x14ac:dyDescent="0.2">
      <c r="A32" s="12">
        <v>5219</v>
      </c>
      <c r="B32" s="13" t="s">
        <v>38</v>
      </c>
      <c r="C32" s="13">
        <v>43346</v>
      </c>
      <c r="D32" s="5">
        <v>54</v>
      </c>
      <c r="E32" s="6" t="s">
        <v>63</v>
      </c>
      <c r="F32" s="5" t="s">
        <v>144</v>
      </c>
      <c r="G32" s="6" t="s">
        <v>145</v>
      </c>
      <c r="H32" s="5" t="str">
        <f>"000363"</f>
        <v>000363</v>
      </c>
      <c r="I32" s="4">
        <v>42816</v>
      </c>
      <c r="J32" s="5" t="str">
        <f>"000052"</f>
        <v>000052</v>
      </c>
      <c r="K32" s="4">
        <v>42916</v>
      </c>
      <c r="L32" s="5" t="str">
        <f>"000170"</f>
        <v>000170</v>
      </c>
      <c r="M32" s="4">
        <v>42916</v>
      </c>
      <c r="N32" s="5">
        <v>17</v>
      </c>
      <c r="O32" s="5" t="str">
        <f>"005502"</f>
        <v>005502</v>
      </c>
      <c r="P32" s="4">
        <v>43340</v>
      </c>
      <c r="Q32" s="7">
        <v>4.6313000000000004</v>
      </c>
      <c r="R32" s="7">
        <v>0.52332000000000001</v>
      </c>
      <c r="S32" s="7">
        <v>4.1079800000000004</v>
      </c>
      <c r="T32" s="5">
        <v>189</v>
      </c>
      <c r="U32" s="4">
        <v>43346</v>
      </c>
      <c r="V32" s="5">
        <v>7829305103</v>
      </c>
      <c r="W32" s="6" t="s">
        <v>146</v>
      </c>
      <c r="X32" s="5" t="s">
        <v>31</v>
      </c>
      <c r="Y32" s="6" t="s">
        <v>32</v>
      </c>
      <c r="Z32" s="5" t="s">
        <v>67</v>
      </c>
      <c r="AA32" s="6" t="s">
        <v>68</v>
      </c>
      <c r="AB32" s="7">
        <f>Q32/100</f>
        <v>4.6313000000000007E-2</v>
      </c>
      <c r="AD32" s="8"/>
      <c r="AF32" s="8"/>
      <c r="AG32" s="8"/>
    </row>
    <row r="33" spans="1:33" x14ac:dyDescent="0.2">
      <c r="A33" s="12">
        <v>5220</v>
      </c>
      <c r="B33" s="13" t="s">
        <v>38</v>
      </c>
      <c r="C33" s="13">
        <v>43346</v>
      </c>
      <c r="D33" s="5">
        <v>54</v>
      </c>
      <c r="E33" s="6" t="s">
        <v>63</v>
      </c>
      <c r="F33" s="5" t="s">
        <v>147</v>
      </c>
      <c r="G33" s="6" t="s">
        <v>148</v>
      </c>
      <c r="H33" s="5" t="str">
        <f>"000041"</f>
        <v>000041</v>
      </c>
      <c r="I33" s="4">
        <v>42976</v>
      </c>
      <c r="J33" s="5" t="str">
        <f>"000042"</f>
        <v>000042</v>
      </c>
      <c r="K33" s="4">
        <v>43035</v>
      </c>
      <c r="L33" s="5" t="str">
        <f>"000108"</f>
        <v>000108</v>
      </c>
      <c r="M33" s="4">
        <v>43035</v>
      </c>
      <c r="N33" s="5">
        <v>17</v>
      </c>
      <c r="O33" s="5" t="str">
        <f>"005550"</f>
        <v>005550</v>
      </c>
      <c r="P33" s="4">
        <v>43341</v>
      </c>
      <c r="Q33" s="7">
        <v>5.5213299999999998</v>
      </c>
      <c r="R33" s="7">
        <v>0.56876000000000004</v>
      </c>
      <c r="S33" s="7">
        <v>4.9525699999999997</v>
      </c>
      <c r="T33" s="5">
        <v>191</v>
      </c>
      <c r="U33" s="4">
        <v>43346</v>
      </c>
      <c r="V33" s="5">
        <v>8660414151</v>
      </c>
      <c r="W33" s="6" t="s">
        <v>149</v>
      </c>
      <c r="X33" s="5" t="s">
        <v>52</v>
      </c>
      <c r="Y33" s="6" t="s">
        <v>51</v>
      </c>
      <c r="Z33" s="5" t="s">
        <v>67</v>
      </c>
      <c r="AA33" s="6" t="s">
        <v>68</v>
      </c>
      <c r="AB33" s="7">
        <f>Q33/100</f>
        <v>5.52133E-2</v>
      </c>
      <c r="AD33" s="8"/>
      <c r="AF33" s="8"/>
      <c r="AG33" s="8"/>
    </row>
    <row r="34" spans="1:33" x14ac:dyDescent="0.2">
      <c r="A34" s="12">
        <v>5413</v>
      </c>
      <c r="B34" s="13" t="s">
        <v>38</v>
      </c>
      <c r="C34" s="13">
        <v>43354</v>
      </c>
      <c r="D34" s="5">
        <v>54</v>
      </c>
      <c r="E34" s="6" t="s">
        <v>63</v>
      </c>
      <c r="F34" s="5" t="s">
        <v>150</v>
      </c>
      <c r="G34" s="6" t="s">
        <v>151</v>
      </c>
      <c r="H34" s="5" t="str">
        <f>"000080"</f>
        <v>000080</v>
      </c>
      <c r="I34" s="4">
        <v>43342</v>
      </c>
      <c r="J34" s="5" t="str">
        <f>"000061"</f>
        <v>000061</v>
      </c>
      <c r="K34" s="4">
        <v>43342</v>
      </c>
      <c r="L34" s="5" t="str">
        <f>"000139"</f>
        <v>000139</v>
      </c>
      <c r="M34" s="4">
        <v>43342</v>
      </c>
      <c r="N34" s="5">
        <v>17</v>
      </c>
      <c r="O34" s="5" t="str">
        <f>"005723"</f>
        <v>005723</v>
      </c>
      <c r="P34" s="4">
        <v>43353</v>
      </c>
      <c r="Q34" s="7">
        <v>11.89442</v>
      </c>
      <c r="R34" s="7">
        <v>0.98721999999999999</v>
      </c>
      <c r="S34" s="7">
        <v>10.9072</v>
      </c>
      <c r="T34" s="5">
        <v>199</v>
      </c>
      <c r="U34" s="4">
        <v>43354</v>
      </c>
      <c r="V34" s="5">
        <v>9845440830</v>
      </c>
      <c r="W34" s="6" t="s">
        <v>152</v>
      </c>
      <c r="X34" s="5" t="s">
        <v>39</v>
      </c>
      <c r="Y34" s="6" t="s">
        <v>40</v>
      </c>
      <c r="Z34" s="5" t="s">
        <v>67</v>
      </c>
      <c r="AA34" s="6" t="s">
        <v>68</v>
      </c>
      <c r="AB34" s="7">
        <f>Q34/100</f>
        <v>0.1189442</v>
      </c>
      <c r="AD34" s="8"/>
      <c r="AF34" s="8"/>
      <c r="AG34" s="8"/>
    </row>
    <row r="35" spans="1:33" x14ac:dyDescent="0.2">
      <c r="A35" s="12">
        <v>6031</v>
      </c>
      <c r="B35" s="13" t="s">
        <v>45</v>
      </c>
      <c r="C35" s="13">
        <v>43385</v>
      </c>
      <c r="D35" s="5">
        <v>54</v>
      </c>
      <c r="E35" s="6" t="s">
        <v>63</v>
      </c>
      <c r="F35" s="5" t="s">
        <v>153</v>
      </c>
      <c r="G35" s="6" t="s">
        <v>154</v>
      </c>
      <c r="H35" s="5" t="str">
        <f>"000005"</f>
        <v>000005</v>
      </c>
      <c r="I35" s="4">
        <v>42940</v>
      </c>
      <c r="J35" s="5" t="str">
        <f>"000005"</f>
        <v>000005</v>
      </c>
      <c r="K35" s="4">
        <v>42940</v>
      </c>
      <c r="L35" s="5" t="str">
        <f>"000005"</f>
        <v>000005</v>
      </c>
      <c r="M35" s="4">
        <v>42940</v>
      </c>
      <c r="N35" s="5">
        <v>17</v>
      </c>
      <c r="O35" s="5" t="str">
        <f>"006164"</f>
        <v>006164</v>
      </c>
      <c r="P35" s="4">
        <v>43377</v>
      </c>
      <c r="Q35" s="7">
        <v>24.999079999999999</v>
      </c>
      <c r="R35" s="7">
        <v>3.0324399999999998</v>
      </c>
      <c r="S35" s="7">
        <v>21.966640000000002</v>
      </c>
      <c r="T35" s="5">
        <v>229</v>
      </c>
      <c r="U35" s="4">
        <v>43385</v>
      </c>
      <c r="V35" s="5">
        <v>9845194409</v>
      </c>
      <c r="W35" s="6" t="s">
        <v>155</v>
      </c>
      <c r="X35" s="5" t="s">
        <v>55</v>
      </c>
      <c r="Y35" s="6" t="s">
        <v>54</v>
      </c>
      <c r="Z35" s="5" t="s">
        <v>59</v>
      </c>
      <c r="AA35" s="6" t="s">
        <v>60</v>
      </c>
      <c r="AB35" s="7">
        <f>Q35/100</f>
        <v>0.24999079999999999</v>
      </c>
      <c r="AD35" s="8"/>
      <c r="AF35" s="8"/>
      <c r="AG35" s="8"/>
    </row>
    <row r="36" spans="1:33" x14ac:dyDescent="0.2">
      <c r="A36" s="12">
        <v>6032</v>
      </c>
      <c r="B36" s="13" t="s">
        <v>45</v>
      </c>
      <c r="C36" s="13">
        <v>43385</v>
      </c>
      <c r="D36" s="5">
        <v>54</v>
      </c>
      <c r="E36" s="6" t="s">
        <v>63</v>
      </c>
      <c r="F36" s="5" t="s">
        <v>156</v>
      </c>
      <c r="G36" s="6" t="s">
        <v>157</v>
      </c>
      <c r="H36" s="5" t="str">
        <f>"000006"</f>
        <v>000006</v>
      </c>
      <c r="I36" s="4">
        <v>42940</v>
      </c>
      <c r="J36" s="5" t="str">
        <f>"000006"</f>
        <v>000006</v>
      </c>
      <c r="K36" s="4">
        <v>42940</v>
      </c>
      <c r="L36" s="5" t="str">
        <f>"000006"</f>
        <v>000006</v>
      </c>
      <c r="M36" s="4">
        <v>42940</v>
      </c>
      <c r="N36" s="5">
        <v>17</v>
      </c>
      <c r="O36" s="5" t="str">
        <f>"006165"</f>
        <v>006165</v>
      </c>
      <c r="P36" s="4">
        <v>43377</v>
      </c>
      <c r="Q36" s="7">
        <v>24.99982</v>
      </c>
      <c r="R36" s="7">
        <v>3.0295000000000001</v>
      </c>
      <c r="S36" s="7">
        <v>21.970320000000001</v>
      </c>
      <c r="T36" s="5">
        <v>229</v>
      </c>
      <c r="U36" s="4">
        <v>43385</v>
      </c>
      <c r="V36" s="5">
        <v>9845194409</v>
      </c>
      <c r="W36" s="6" t="s">
        <v>158</v>
      </c>
      <c r="X36" s="5" t="s">
        <v>55</v>
      </c>
      <c r="Y36" s="6" t="s">
        <v>54</v>
      </c>
      <c r="Z36" s="5" t="s">
        <v>59</v>
      </c>
      <c r="AA36" s="6" t="s">
        <v>60</v>
      </c>
      <c r="AB36" s="7">
        <f>Q36/100</f>
        <v>0.2499982</v>
      </c>
      <c r="AD36" s="8"/>
      <c r="AF36" s="8"/>
      <c r="AG36" s="8"/>
    </row>
    <row r="37" spans="1:33" x14ac:dyDescent="0.2">
      <c r="A37" s="12">
        <v>6033</v>
      </c>
      <c r="B37" s="13" t="s">
        <v>45</v>
      </c>
      <c r="C37" s="13">
        <v>43385</v>
      </c>
      <c r="D37" s="5">
        <v>54</v>
      </c>
      <c r="E37" s="6" t="s">
        <v>63</v>
      </c>
      <c r="F37" s="5" t="s">
        <v>159</v>
      </c>
      <c r="G37" s="6" t="s">
        <v>160</v>
      </c>
      <c r="H37" s="5" t="str">
        <f>"000007"</f>
        <v>000007</v>
      </c>
      <c r="I37" s="4">
        <v>42940</v>
      </c>
      <c r="J37" s="5" t="str">
        <f>"000007"</f>
        <v>000007</v>
      </c>
      <c r="K37" s="4">
        <v>42940</v>
      </c>
      <c r="L37" s="5" t="str">
        <f>"000007"</f>
        <v>000007</v>
      </c>
      <c r="M37" s="4">
        <v>42940</v>
      </c>
      <c r="N37" s="5">
        <v>17</v>
      </c>
      <c r="O37" s="5" t="str">
        <f>"006166"</f>
        <v>006166</v>
      </c>
      <c r="P37" s="4">
        <v>43377</v>
      </c>
      <c r="Q37" s="7">
        <v>24.99897</v>
      </c>
      <c r="R37" s="7">
        <v>3.0323899999999999</v>
      </c>
      <c r="S37" s="7">
        <v>21.96658</v>
      </c>
      <c r="T37" s="5">
        <v>229</v>
      </c>
      <c r="U37" s="4">
        <v>43385</v>
      </c>
      <c r="V37" s="5">
        <v>9845194409</v>
      </c>
      <c r="W37" s="6" t="s">
        <v>158</v>
      </c>
      <c r="X37" s="5" t="s">
        <v>55</v>
      </c>
      <c r="Y37" s="6" t="s">
        <v>54</v>
      </c>
      <c r="Z37" s="5" t="s">
        <v>59</v>
      </c>
      <c r="AA37" s="6" t="s">
        <v>60</v>
      </c>
      <c r="AB37" s="7">
        <f>Q37/100</f>
        <v>0.24998970000000001</v>
      </c>
      <c r="AD37" s="8"/>
      <c r="AF37" s="8"/>
      <c r="AG37" s="8"/>
    </row>
    <row r="38" spans="1:33" x14ac:dyDescent="0.2">
      <c r="A38" s="12">
        <v>6034</v>
      </c>
      <c r="B38" s="13" t="s">
        <v>45</v>
      </c>
      <c r="C38" s="13">
        <v>43385</v>
      </c>
      <c r="D38" s="5">
        <v>54</v>
      </c>
      <c r="E38" s="6" t="s">
        <v>63</v>
      </c>
      <c r="F38" s="5" t="s">
        <v>161</v>
      </c>
      <c r="G38" s="6" t="s">
        <v>162</v>
      </c>
      <c r="H38" s="5" t="str">
        <f>"000008"</f>
        <v>000008</v>
      </c>
      <c r="I38" s="4">
        <v>42941</v>
      </c>
      <c r="J38" s="5" t="str">
        <f>"000008"</f>
        <v>000008</v>
      </c>
      <c r="K38" s="4">
        <v>42941</v>
      </c>
      <c r="L38" s="5" t="str">
        <f>"000008"</f>
        <v>000008</v>
      </c>
      <c r="M38" s="4">
        <v>42941</v>
      </c>
      <c r="N38" s="5">
        <v>17</v>
      </c>
      <c r="O38" s="5" t="str">
        <f>"006167"</f>
        <v>006167</v>
      </c>
      <c r="P38" s="4">
        <v>43377</v>
      </c>
      <c r="Q38" s="7">
        <v>24.99981</v>
      </c>
      <c r="R38" s="7">
        <v>3.0325000000000002</v>
      </c>
      <c r="S38" s="7">
        <v>21.967310000000001</v>
      </c>
      <c r="T38" s="5">
        <v>229</v>
      </c>
      <c r="U38" s="4">
        <v>43385</v>
      </c>
      <c r="V38" s="5">
        <v>9845194409</v>
      </c>
      <c r="W38" s="6" t="s">
        <v>158</v>
      </c>
      <c r="X38" s="5" t="s">
        <v>55</v>
      </c>
      <c r="Y38" s="6" t="s">
        <v>54</v>
      </c>
      <c r="Z38" s="5" t="s">
        <v>59</v>
      </c>
      <c r="AA38" s="6" t="s">
        <v>60</v>
      </c>
      <c r="AB38" s="7">
        <f>Q38/100</f>
        <v>0.2499981</v>
      </c>
      <c r="AD38" s="8"/>
      <c r="AF38" s="8"/>
      <c r="AG38" s="8"/>
    </row>
    <row r="39" spans="1:33" x14ac:dyDescent="0.2">
      <c r="A39" s="12">
        <v>6035</v>
      </c>
      <c r="B39" s="13" t="s">
        <v>45</v>
      </c>
      <c r="C39" s="13">
        <v>43385</v>
      </c>
      <c r="D39" s="5">
        <v>54</v>
      </c>
      <c r="E39" s="6" t="s">
        <v>63</v>
      </c>
      <c r="F39" s="5" t="s">
        <v>153</v>
      </c>
      <c r="G39" s="6" t="s">
        <v>154</v>
      </c>
      <c r="H39" s="5" t="str">
        <f>"000005"</f>
        <v>000005</v>
      </c>
      <c r="I39" s="4">
        <v>42940</v>
      </c>
      <c r="J39" s="5" t="str">
        <f>"000005"</f>
        <v>000005</v>
      </c>
      <c r="K39" s="4">
        <v>42940</v>
      </c>
      <c r="L39" s="5" t="str">
        <f>"000005"</f>
        <v>000005</v>
      </c>
      <c r="M39" s="4">
        <v>42940</v>
      </c>
      <c r="N39" s="5">
        <v>17</v>
      </c>
      <c r="O39" s="5" t="str">
        <f>"006164"</f>
        <v>006164</v>
      </c>
      <c r="P39" s="4">
        <v>43377</v>
      </c>
      <c r="Q39" s="7">
        <v>24.999079999999999</v>
      </c>
      <c r="R39" s="7">
        <v>3.0324399999999998</v>
      </c>
      <c r="S39" s="7">
        <v>21.966640000000002</v>
      </c>
      <c r="T39" s="5">
        <v>229</v>
      </c>
      <c r="U39" s="4">
        <v>43385</v>
      </c>
      <c r="V39" s="5">
        <v>9845194409</v>
      </c>
      <c r="W39" s="6" t="s">
        <v>155</v>
      </c>
      <c r="X39" s="5" t="s">
        <v>55</v>
      </c>
      <c r="Y39" s="6" t="s">
        <v>54</v>
      </c>
      <c r="Z39" s="5" t="s">
        <v>59</v>
      </c>
      <c r="AA39" s="6" t="s">
        <v>60</v>
      </c>
      <c r="AB39" s="7">
        <f>Q39/100</f>
        <v>0.24999079999999999</v>
      </c>
      <c r="AD39" s="8"/>
      <c r="AF39" s="8"/>
      <c r="AG39" s="8"/>
    </row>
    <row r="40" spans="1:33" x14ac:dyDescent="0.2">
      <c r="A40" s="12">
        <v>6036</v>
      </c>
      <c r="B40" s="13" t="s">
        <v>45</v>
      </c>
      <c r="C40" s="13">
        <v>43385</v>
      </c>
      <c r="D40" s="5">
        <v>54</v>
      </c>
      <c r="E40" s="6" t="s">
        <v>63</v>
      </c>
      <c r="F40" s="5" t="s">
        <v>156</v>
      </c>
      <c r="G40" s="6" t="s">
        <v>157</v>
      </c>
      <c r="H40" s="5" t="str">
        <f>"000006"</f>
        <v>000006</v>
      </c>
      <c r="I40" s="4">
        <v>42940</v>
      </c>
      <c r="J40" s="5" t="str">
        <f>"000006"</f>
        <v>000006</v>
      </c>
      <c r="K40" s="4">
        <v>42940</v>
      </c>
      <c r="L40" s="5" t="str">
        <f>"000006"</f>
        <v>000006</v>
      </c>
      <c r="M40" s="4">
        <v>42940</v>
      </c>
      <c r="N40" s="5">
        <v>17</v>
      </c>
      <c r="O40" s="5" t="str">
        <f>"006165"</f>
        <v>006165</v>
      </c>
      <c r="P40" s="4">
        <v>43377</v>
      </c>
      <c r="Q40" s="7">
        <v>24.99982</v>
      </c>
      <c r="R40" s="7">
        <v>3.0295000000000001</v>
      </c>
      <c r="S40" s="7">
        <v>21.970320000000001</v>
      </c>
      <c r="T40" s="5">
        <v>229</v>
      </c>
      <c r="U40" s="4">
        <v>43385</v>
      </c>
      <c r="V40" s="5">
        <v>9845194409</v>
      </c>
      <c r="W40" s="6" t="s">
        <v>158</v>
      </c>
      <c r="X40" s="5" t="s">
        <v>55</v>
      </c>
      <c r="Y40" s="6" t="s">
        <v>54</v>
      </c>
      <c r="Z40" s="5" t="s">
        <v>59</v>
      </c>
      <c r="AA40" s="6" t="s">
        <v>60</v>
      </c>
      <c r="AB40" s="7">
        <f>Q40/100</f>
        <v>0.2499982</v>
      </c>
      <c r="AD40" s="8"/>
      <c r="AF40" s="8"/>
      <c r="AG40" s="8"/>
    </row>
    <row r="41" spans="1:33" x14ac:dyDescent="0.2">
      <c r="A41" s="12">
        <v>6037</v>
      </c>
      <c r="B41" s="13" t="s">
        <v>45</v>
      </c>
      <c r="C41" s="13">
        <v>43385</v>
      </c>
      <c r="D41" s="5">
        <v>54</v>
      </c>
      <c r="E41" s="6" t="s">
        <v>63</v>
      </c>
      <c r="F41" s="5" t="s">
        <v>159</v>
      </c>
      <c r="G41" s="6" t="s">
        <v>160</v>
      </c>
      <c r="H41" s="5" t="str">
        <f>"000007"</f>
        <v>000007</v>
      </c>
      <c r="I41" s="4">
        <v>42940</v>
      </c>
      <c r="J41" s="5" t="str">
        <f>"000007"</f>
        <v>000007</v>
      </c>
      <c r="K41" s="4">
        <v>42940</v>
      </c>
      <c r="L41" s="5" t="str">
        <f>"000007"</f>
        <v>000007</v>
      </c>
      <c r="M41" s="4">
        <v>42940</v>
      </c>
      <c r="N41" s="5">
        <v>17</v>
      </c>
      <c r="O41" s="5" t="str">
        <f>"006166"</f>
        <v>006166</v>
      </c>
      <c r="P41" s="4">
        <v>43377</v>
      </c>
      <c r="Q41" s="7">
        <v>24.99897</v>
      </c>
      <c r="R41" s="7">
        <v>3.0323899999999999</v>
      </c>
      <c r="S41" s="7">
        <v>21.96658</v>
      </c>
      <c r="T41" s="5">
        <v>229</v>
      </c>
      <c r="U41" s="4">
        <v>43385</v>
      </c>
      <c r="V41" s="5">
        <v>9845194409</v>
      </c>
      <c r="W41" s="6" t="s">
        <v>158</v>
      </c>
      <c r="X41" s="5" t="s">
        <v>55</v>
      </c>
      <c r="Y41" s="6" t="s">
        <v>54</v>
      </c>
      <c r="Z41" s="5" t="s">
        <v>59</v>
      </c>
      <c r="AA41" s="6" t="s">
        <v>60</v>
      </c>
      <c r="AB41" s="7">
        <f>Q41/100</f>
        <v>0.24998970000000001</v>
      </c>
      <c r="AD41" s="8"/>
      <c r="AF41" s="8"/>
      <c r="AG41" s="8"/>
    </row>
    <row r="42" spans="1:33" x14ac:dyDescent="0.2">
      <c r="A42" s="12">
        <v>6038</v>
      </c>
      <c r="B42" s="13" t="s">
        <v>45</v>
      </c>
      <c r="C42" s="13">
        <v>43385</v>
      </c>
      <c r="D42" s="5">
        <v>54</v>
      </c>
      <c r="E42" s="6" t="s">
        <v>63</v>
      </c>
      <c r="F42" s="5" t="s">
        <v>161</v>
      </c>
      <c r="G42" s="6" t="s">
        <v>162</v>
      </c>
      <c r="H42" s="5" t="str">
        <f>"000008"</f>
        <v>000008</v>
      </c>
      <c r="I42" s="4">
        <v>42941</v>
      </c>
      <c r="J42" s="5" t="str">
        <f>"000008"</f>
        <v>000008</v>
      </c>
      <c r="K42" s="4">
        <v>42941</v>
      </c>
      <c r="L42" s="5" t="str">
        <f>"000008"</f>
        <v>000008</v>
      </c>
      <c r="M42" s="4">
        <v>42941</v>
      </c>
      <c r="N42" s="5">
        <v>17</v>
      </c>
      <c r="O42" s="5" t="str">
        <f>"006167"</f>
        <v>006167</v>
      </c>
      <c r="P42" s="4">
        <v>43377</v>
      </c>
      <c r="Q42" s="7">
        <v>24.99981</v>
      </c>
      <c r="R42" s="7">
        <v>3.0325000000000002</v>
      </c>
      <c r="S42" s="7">
        <v>21.967310000000001</v>
      </c>
      <c r="T42" s="5">
        <v>229</v>
      </c>
      <c r="U42" s="4">
        <v>43385</v>
      </c>
      <c r="V42" s="5">
        <v>9845194409</v>
      </c>
      <c r="W42" s="6" t="s">
        <v>158</v>
      </c>
      <c r="X42" s="5" t="s">
        <v>55</v>
      </c>
      <c r="Y42" s="6" t="s">
        <v>54</v>
      </c>
      <c r="Z42" s="5" t="s">
        <v>59</v>
      </c>
      <c r="AA42" s="6" t="s">
        <v>60</v>
      </c>
      <c r="AB42" s="7">
        <f>Q42/100</f>
        <v>0.2499981</v>
      </c>
      <c r="AD42" s="8"/>
      <c r="AF42" s="8"/>
      <c r="AG42" s="8"/>
    </row>
    <row r="43" spans="1:33" x14ac:dyDescent="0.2">
      <c r="A43" s="12">
        <v>6532</v>
      </c>
      <c r="B43" s="13" t="s">
        <v>45</v>
      </c>
      <c r="C43" s="13">
        <v>43389</v>
      </c>
      <c r="D43" s="5">
        <v>54</v>
      </c>
      <c r="E43" s="6" t="s">
        <v>63</v>
      </c>
      <c r="F43" s="5" t="s">
        <v>163</v>
      </c>
      <c r="G43" s="6" t="s">
        <v>164</v>
      </c>
      <c r="H43" s="5" t="str">
        <f>"000364"</f>
        <v>000364</v>
      </c>
      <c r="I43" s="4">
        <v>42816</v>
      </c>
      <c r="J43" s="5" t="str">
        <f>"000030"</f>
        <v>000030</v>
      </c>
      <c r="K43" s="4">
        <v>43003</v>
      </c>
      <c r="L43" s="5" t="str">
        <f>"000072"</f>
        <v>000072</v>
      </c>
      <c r="M43" s="4">
        <v>43003</v>
      </c>
      <c r="N43" s="5">
        <v>17</v>
      </c>
      <c r="O43" s="5" t="str">
        <f>"006664"</f>
        <v>006664</v>
      </c>
      <c r="P43" s="4">
        <v>43385</v>
      </c>
      <c r="Q43" s="7">
        <v>6.9317299999999999</v>
      </c>
      <c r="R43" s="7">
        <v>0.90825999999999996</v>
      </c>
      <c r="S43" s="7">
        <v>6.0234699999999997</v>
      </c>
      <c r="T43" s="5">
        <v>239</v>
      </c>
      <c r="U43" s="4">
        <v>43389</v>
      </c>
      <c r="V43" s="5">
        <v>9901839249</v>
      </c>
      <c r="W43" s="6" t="s">
        <v>165</v>
      </c>
      <c r="X43" s="5" t="s">
        <v>31</v>
      </c>
      <c r="Y43" s="6" t="s">
        <v>32</v>
      </c>
      <c r="Z43" s="5" t="s">
        <v>67</v>
      </c>
      <c r="AA43" s="6" t="s">
        <v>68</v>
      </c>
      <c r="AB43" s="7">
        <f>Q43/100</f>
        <v>6.9317299999999998E-2</v>
      </c>
      <c r="AD43" s="8"/>
      <c r="AF43" s="8"/>
      <c r="AG43" s="8"/>
    </row>
    <row r="44" spans="1:33" x14ac:dyDescent="0.2">
      <c r="A44" s="12">
        <v>6533</v>
      </c>
      <c r="B44" s="13" t="s">
        <v>45</v>
      </c>
      <c r="C44" s="13">
        <v>43389</v>
      </c>
      <c r="D44" s="5">
        <v>54</v>
      </c>
      <c r="E44" s="6" t="s">
        <v>63</v>
      </c>
      <c r="F44" s="5" t="s">
        <v>166</v>
      </c>
      <c r="G44" s="6" t="s">
        <v>167</v>
      </c>
      <c r="H44" s="5" t="str">
        <f>"000111"</f>
        <v>000111</v>
      </c>
      <c r="I44" s="4">
        <v>43091</v>
      </c>
      <c r="J44" s="5" t="str">
        <f>"000053"</f>
        <v>000053</v>
      </c>
      <c r="K44" s="4">
        <v>43091</v>
      </c>
      <c r="L44" s="5" t="str">
        <f>"000159"</f>
        <v>000159</v>
      </c>
      <c r="M44" s="4">
        <v>43091</v>
      </c>
      <c r="N44" s="5">
        <v>18</v>
      </c>
      <c r="O44" s="5" t="str">
        <f>"006441"</f>
        <v>006441</v>
      </c>
      <c r="P44" s="4">
        <v>43382</v>
      </c>
      <c r="Q44" s="7">
        <v>34.997199999999999</v>
      </c>
      <c r="R44" s="7">
        <v>3.6049500000000001</v>
      </c>
      <c r="S44" s="7">
        <v>31.392250000000001</v>
      </c>
      <c r="T44" s="5">
        <v>241</v>
      </c>
      <c r="U44" s="4">
        <v>43389</v>
      </c>
      <c r="V44" s="5">
        <v>9480828222</v>
      </c>
      <c r="W44" s="6" t="s">
        <v>56</v>
      </c>
      <c r="X44" s="5" t="s">
        <v>52</v>
      </c>
      <c r="Y44" s="6" t="s">
        <v>51</v>
      </c>
      <c r="Z44" s="5" t="s">
        <v>67</v>
      </c>
      <c r="AA44" s="6" t="s">
        <v>68</v>
      </c>
      <c r="AB44" s="7">
        <f>Q44/100</f>
        <v>0.34997200000000001</v>
      </c>
      <c r="AD44" s="8"/>
      <c r="AF44" s="8"/>
      <c r="AG44" s="8"/>
    </row>
    <row r="45" spans="1:33" x14ac:dyDescent="0.2">
      <c r="A45" s="12">
        <v>6925</v>
      </c>
      <c r="B45" s="13" t="s">
        <v>45</v>
      </c>
      <c r="C45" s="13">
        <v>43402</v>
      </c>
      <c r="D45" s="5">
        <v>54</v>
      </c>
      <c r="E45" s="6" t="s">
        <v>63</v>
      </c>
      <c r="F45" s="5" t="s">
        <v>168</v>
      </c>
      <c r="G45" s="6" t="s">
        <v>169</v>
      </c>
      <c r="H45" s="5" t="str">
        <f>"000134"</f>
        <v>000134</v>
      </c>
      <c r="I45" s="4">
        <v>42903</v>
      </c>
      <c r="J45" s="5" t="str">
        <f>"000026"</f>
        <v>000026</v>
      </c>
      <c r="K45" s="4">
        <v>43264</v>
      </c>
      <c r="L45" s="5" t="str">
        <f>"000066"</f>
        <v>000066</v>
      </c>
      <c r="M45" s="4">
        <v>43264</v>
      </c>
      <c r="N45" s="5">
        <v>17</v>
      </c>
      <c r="O45" s="5" t="str">
        <f>"007042"</f>
        <v>007042</v>
      </c>
      <c r="P45" s="4">
        <v>43400</v>
      </c>
      <c r="Q45" s="7">
        <v>29.99596</v>
      </c>
      <c r="R45" s="7">
        <v>3.0396399999999999</v>
      </c>
      <c r="S45" s="7">
        <v>26.956320000000002</v>
      </c>
      <c r="T45" s="5">
        <v>252</v>
      </c>
      <c r="U45" s="4">
        <v>43402</v>
      </c>
      <c r="V45" s="5">
        <v>9480828222</v>
      </c>
      <c r="W45" s="6" t="s">
        <v>53</v>
      </c>
      <c r="X45" s="5" t="s">
        <v>28</v>
      </c>
      <c r="Y45" s="6" t="s">
        <v>29</v>
      </c>
      <c r="Z45" s="5" t="s">
        <v>67</v>
      </c>
      <c r="AA45" s="6" t="s">
        <v>68</v>
      </c>
      <c r="AB45" s="7">
        <f>Q45/100</f>
        <v>0.29995959999999999</v>
      </c>
      <c r="AD45" s="8"/>
      <c r="AF45" s="8"/>
      <c r="AG45" s="8"/>
    </row>
    <row r="46" spans="1:33" x14ac:dyDescent="0.2">
      <c r="A46" s="12">
        <v>6984</v>
      </c>
      <c r="B46" s="13" t="s">
        <v>45</v>
      </c>
      <c r="C46" s="13">
        <v>43403</v>
      </c>
      <c r="D46" s="5">
        <v>54</v>
      </c>
      <c r="E46" s="6" t="s">
        <v>63</v>
      </c>
      <c r="F46" s="5" t="s">
        <v>170</v>
      </c>
      <c r="G46" s="6" t="s">
        <v>171</v>
      </c>
      <c r="H46" s="5" t="str">
        <f>"00"</f>
        <v>00</v>
      </c>
      <c r="I46" s="4">
        <v>138</v>
      </c>
      <c r="J46" s="5" t="str">
        <f>"000009"</f>
        <v>000009</v>
      </c>
      <c r="K46" s="4">
        <v>42873</v>
      </c>
      <c r="L46" s="5" t="str">
        <f>"000031"</f>
        <v>000031</v>
      </c>
      <c r="M46" s="4">
        <v>42873</v>
      </c>
      <c r="N46" s="5">
        <v>12</v>
      </c>
      <c r="O46" s="5" t="str">
        <f>"006755"</f>
        <v>006755</v>
      </c>
      <c r="P46" s="4">
        <v>43389</v>
      </c>
      <c r="Q46" s="7">
        <v>8.0410799999999991</v>
      </c>
      <c r="R46" s="7">
        <v>1.5116700000000001</v>
      </c>
      <c r="S46" s="7">
        <v>6.5294100000000004</v>
      </c>
      <c r="T46" s="5">
        <v>255</v>
      </c>
      <c r="U46" s="4">
        <v>43403</v>
      </c>
      <c r="V46" s="5">
        <v>9480828222</v>
      </c>
      <c r="W46" s="6" t="s">
        <v>172</v>
      </c>
      <c r="X46" s="5" t="s">
        <v>31</v>
      </c>
      <c r="Y46" s="6" t="s">
        <v>32</v>
      </c>
      <c r="Z46" s="5" t="s">
        <v>67</v>
      </c>
      <c r="AA46" s="6" t="s">
        <v>68</v>
      </c>
      <c r="AB46" s="7">
        <f>Q46/100</f>
        <v>8.0410799999999991E-2</v>
      </c>
      <c r="AD46" s="8"/>
      <c r="AF46" s="8"/>
      <c r="AG46" s="8"/>
    </row>
    <row r="47" spans="1:33" x14ac:dyDescent="0.2">
      <c r="A47" s="12">
        <v>6985</v>
      </c>
      <c r="B47" s="13" t="s">
        <v>45</v>
      </c>
      <c r="C47" s="13">
        <v>43403</v>
      </c>
      <c r="D47" s="5">
        <v>54</v>
      </c>
      <c r="E47" s="6" t="s">
        <v>63</v>
      </c>
      <c r="F47" s="5" t="s">
        <v>173</v>
      </c>
      <c r="G47" s="6" t="s">
        <v>174</v>
      </c>
      <c r="H47" s="5" t="str">
        <f>"000039"</f>
        <v>000039</v>
      </c>
      <c r="I47" s="4">
        <v>41142</v>
      </c>
      <c r="J47" s="5" t="str">
        <f>"000010"</f>
        <v>000010</v>
      </c>
      <c r="K47" s="4">
        <v>42873</v>
      </c>
      <c r="L47" s="5" t="str">
        <f>"000032"</f>
        <v>000032</v>
      </c>
      <c r="M47" s="4">
        <v>42873</v>
      </c>
      <c r="N47" s="5">
        <v>12</v>
      </c>
      <c r="O47" s="5" t="str">
        <f>"006756"</f>
        <v>006756</v>
      </c>
      <c r="P47" s="4">
        <v>43389</v>
      </c>
      <c r="Q47" s="7">
        <v>9.6806000000000001</v>
      </c>
      <c r="R47" s="7">
        <v>1.70357</v>
      </c>
      <c r="S47" s="7">
        <v>7.9770300000000001</v>
      </c>
      <c r="T47" s="5">
        <v>255</v>
      </c>
      <c r="U47" s="4">
        <v>43403</v>
      </c>
      <c r="V47" s="5">
        <v>9480828222</v>
      </c>
      <c r="W47" s="6" t="s">
        <v>172</v>
      </c>
      <c r="X47" s="5" t="s">
        <v>31</v>
      </c>
      <c r="Y47" s="6" t="s">
        <v>32</v>
      </c>
      <c r="Z47" s="5" t="s">
        <v>67</v>
      </c>
      <c r="AA47" s="6" t="s">
        <v>68</v>
      </c>
      <c r="AB47" s="7">
        <f>Q47/100</f>
        <v>9.6806000000000003E-2</v>
      </c>
      <c r="AD47" s="8"/>
      <c r="AF47" s="8"/>
      <c r="AG47" s="8"/>
    </row>
    <row r="48" spans="1:33" x14ac:dyDescent="0.2">
      <c r="A48" s="12">
        <v>6986</v>
      </c>
      <c r="B48" s="13" t="s">
        <v>45</v>
      </c>
      <c r="C48" s="13">
        <v>43403</v>
      </c>
      <c r="D48" s="5">
        <v>54</v>
      </c>
      <c r="E48" s="6" t="s">
        <v>63</v>
      </c>
      <c r="F48" s="5" t="s">
        <v>175</v>
      </c>
      <c r="G48" s="6" t="s">
        <v>176</v>
      </c>
      <c r="H48" s="5" t="str">
        <f>"000225"</f>
        <v>000225</v>
      </c>
      <c r="I48" s="4">
        <v>42800</v>
      </c>
      <c r="J48" s="5" t="str">
        <f>"000002"</f>
        <v>000002</v>
      </c>
      <c r="K48" s="4">
        <v>42850</v>
      </c>
      <c r="L48" s="5" t="str">
        <f>"000063"</f>
        <v>000063</v>
      </c>
      <c r="M48" s="4">
        <v>42875</v>
      </c>
      <c r="N48" s="5">
        <v>16</v>
      </c>
      <c r="O48" s="5" t="str">
        <f>"006759"</f>
        <v>006759</v>
      </c>
      <c r="P48" s="4">
        <v>43389</v>
      </c>
      <c r="Q48" s="7">
        <v>68.880560000000003</v>
      </c>
      <c r="R48" s="7">
        <v>9.4522899999999996</v>
      </c>
      <c r="S48" s="7">
        <v>59.428269999999998</v>
      </c>
      <c r="T48" s="5">
        <v>255</v>
      </c>
      <c r="U48" s="4">
        <v>43403</v>
      </c>
      <c r="V48" s="5">
        <v>9480828222</v>
      </c>
      <c r="W48" s="6" t="s">
        <v>56</v>
      </c>
      <c r="X48" s="5" t="s">
        <v>55</v>
      </c>
      <c r="Y48" s="6" t="s">
        <v>54</v>
      </c>
      <c r="Z48" s="5" t="s">
        <v>67</v>
      </c>
      <c r="AA48" s="6" t="s">
        <v>68</v>
      </c>
      <c r="AB48" s="7">
        <f>Q48/100</f>
        <v>0.68880560000000002</v>
      </c>
      <c r="AD48" s="8"/>
      <c r="AF48" s="8"/>
      <c r="AG48" s="8"/>
    </row>
    <row r="49" spans="1:33" x14ac:dyDescent="0.2">
      <c r="A49" s="12">
        <v>7208</v>
      </c>
      <c r="B49" s="13" t="s">
        <v>41</v>
      </c>
      <c r="C49" s="13">
        <v>43420</v>
      </c>
      <c r="D49" s="5">
        <v>54</v>
      </c>
      <c r="E49" s="6" t="s">
        <v>63</v>
      </c>
      <c r="F49" s="5" t="s">
        <v>177</v>
      </c>
      <c r="G49" s="6" t="s">
        <v>178</v>
      </c>
      <c r="H49" s="5" t="str">
        <f>"000079"</f>
        <v>000079</v>
      </c>
      <c r="I49" s="4">
        <v>42406</v>
      </c>
      <c r="J49" s="5" t="str">
        <f>"000024"</f>
        <v>000024</v>
      </c>
      <c r="K49" s="4">
        <v>42893</v>
      </c>
      <c r="L49" s="5" t="str">
        <f>"000028"</f>
        <v>000028</v>
      </c>
      <c r="M49" s="4">
        <v>42866</v>
      </c>
      <c r="N49" s="5">
        <v>16</v>
      </c>
      <c r="O49" s="5" t="str">
        <f>"007251"</f>
        <v>007251</v>
      </c>
      <c r="P49" s="4">
        <v>43407</v>
      </c>
      <c r="Q49" s="7">
        <v>4.8123500000000003</v>
      </c>
      <c r="R49" s="7">
        <v>0.65876999999999997</v>
      </c>
      <c r="S49" s="7">
        <v>4.1535799999999998</v>
      </c>
      <c r="T49" s="5">
        <v>266</v>
      </c>
      <c r="U49" s="4">
        <v>43420</v>
      </c>
      <c r="V49" s="5">
        <v>9535810447</v>
      </c>
      <c r="W49" s="6" t="s">
        <v>179</v>
      </c>
      <c r="X49" s="5" t="s">
        <v>31</v>
      </c>
      <c r="Y49" s="6" t="s">
        <v>32</v>
      </c>
      <c r="Z49" s="5" t="s">
        <v>67</v>
      </c>
      <c r="AA49" s="6" t="s">
        <v>68</v>
      </c>
      <c r="AB49" s="7">
        <f>Q49/100</f>
        <v>4.8123500000000007E-2</v>
      </c>
      <c r="AD49" s="8"/>
      <c r="AF49" s="8"/>
      <c r="AG49" s="8"/>
    </row>
    <row r="50" spans="1:33" x14ac:dyDescent="0.2">
      <c r="A50" s="12">
        <v>7209</v>
      </c>
      <c r="B50" s="13" t="s">
        <v>41</v>
      </c>
      <c r="C50" s="13">
        <v>43420</v>
      </c>
      <c r="D50" s="5">
        <v>54</v>
      </c>
      <c r="E50" s="6" t="s">
        <v>63</v>
      </c>
      <c r="F50" s="5" t="s">
        <v>180</v>
      </c>
      <c r="G50" s="6" t="s">
        <v>181</v>
      </c>
      <c r="H50" s="5" t="str">
        <f>"000337"</f>
        <v>000337</v>
      </c>
      <c r="I50" s="4">
        <v>42801</v>
      </c>
      <c r="J50" s="5" t="str">
        <f>"000020"</f>
        <v>000020</v>
      </c>
      <c r="K50" s="4">
        <v>42884</v>
      </c>
      <c r="L50" s="5" t="str">
        <f>"000066"</f>
        <v>000066</v>
      </c>
      <c r="M50" s="4">
        <v>42884</v>
      </c>
      <c r="N50" s="5">
        <v>17</v>
      </c>
      <c r="O50" s="5" t="str">
        <f>"007260"</f>
        <v>007260</v>
      </c>
      <c r="P50" s="4">
        <v>43407</v>
      </c>
      <c r="Q50" s="7">
        <v>48.566589999999998</v>
      </c>
      <c r="R50" s="7">
        <v>6.7586599999999999</v>
      </c>
      <c r="S50" s="7">
        <v>41.807929999999999</v>
      </c>
      <c r="T50" s="5">
        <v>266</v>
      </c>
      <c r="U50" s="4">
        <v>43420</v>
      </c>
      <c r="V50" s="5">
        <v>9480828222</v>
      </c>
      <c r="W50" s="6" t="s">
        <v>182</v>
      </c>
      <c r="X50" s="5" t="s">
        <v>55</v>
      </c>
      <c r="Y50" s="6" t="s">
        <v>54</v>
      </c>
      <c r="Z50" s="5" t="s">
        <v>67</v>
      </c>
      <c r="AA50" s="6" t="s">
        <v>68</v>
      </c>
      <c r="AB50" s="7">
        <f>Q50/100</f>
        <v>0.48566589999999998</v>
      </c>
      <c r="AD50" s="8"/>
      <c r="AF50" s="8"/>
      <c r="AG50" s="8"/>
    </row>
    <row r="51" spans="1:33" x14ac:dyDescent="0.2">
      <c r="A51" s="12">
        <v>7210</v>
      </c>
      <c r="B51" s="13" t="s">
        <v>41</v>
      </c>
      <c r="C51" s="13">
        <v>43420</v>
      </c>
      <c r="D51" s="5">
        <v>54</v>
      </c>
      <c r="E51" s="6" t="s">
        <v>63</v>
      </c>
      <c r="F51" s="5" t="s">
        <v>183</v>
      </c>
      <c r="G51" s="6" t="s">
        <v>184</v>
      </c>
      <c r="H51" s="5" t="str">
        <f>"000338"</f>
        <v>000338</v>
      </c>
      <c r="I51" s="4">
        <v>42801</v>
      </c>
      <c r="J51" s="5" t="str">
        <f>"000021"</f>
        <v>000021</v>
      </c>
      <c r="K51" s="4">
        <v>42884</v>
      </c>
      <c r="L51" s="5" t="str">
        <f>"000067"</f>
        <v>000067</v>
      </c>
      <c r="M51" s="4">
        <v>42884</v>
      </c>
      <c r="N51" s="5">
        <v>17</v>
      </c>
      <c r="O51" s="5" t="str">
        <f>"007261"</f>
        <v>007261</v>
      </c>
      <c r="P51" s="4">
        <v>43407</v>
      </c>
      <c r="Q51" s="7">
        <v>48.527630000000002</v>
      </c>
      <c r="R51" s="7">
        <v>6.6838699999999998</v>
      </c>
      <c r="S51" s="7">
        <v>41.843760000000003</v>
      </c>
      <c r="T51" s="5">
        <v>266</v>
      </c>
      <c r="U51" s="4">
        <v>43420</v>
      </c>
      <c r="V51" s="5">
        <v>9480828222</v>
      </c>
      <c r="W51" s="6" t="s">
        <v>56</v>
      </c>
      <c r="X51" s="5" t="s">
        <v>55</v>
      </c>
      <c r="Y51" s="6" t="s">
        <v>54</v>
      </c>
      <c r="Z51" s="5" t="s">
        <v>67</v>
      </c>
      <c r="AA51" s="6" t="s">
        <v>68</v>
      </c>
      <c r="AB51" s="7">
        <f>Q51/100</f>
        <v>0.48527629999999999</v>
      </c>
      <c r="AD51" s="8"/>
      <c r="AF51" s="8"/>
      <c r="AG51" s="8"/>
    </row>
    <row r="52" spans="1:33" x14ac:dyDescent="0.2">
      <c r="A52" s="12">
        <v>7211</v>
      </c>
      <c r="B52" s="13" t="s">
        <v>41</v>
      </c>
      <c r="C52" s="13">
        <v>43420</v>
      </c>
      <c r="D52" s="5">
        <v>54</v>
      </c>
      <c r="E52" s="6" t="s">
        <v>63</v>
      </c>
      <c r="F52" s="5" t="s">
        <v>185</v>
      </c>
      <c r="G52" s="6" t="s">
        <v>186</v>
      </c>
      <c r="H52" s="5" t="str">
        <f>"000339"</f>
        <v>000339</v>
      </c>
      <c r="I52" s="4">
        <v>42801</v>
      </c>
      <c r="J52" s="5" t="str">
        <f>"000022"</f>
        <v>000022</v>
      </c>
      <c r="K52" s="4">
        <v>42884</v>
      </c>
      <c r="L52" s="5" t="str">
        <f>"000068"</f>
        <v>000068</v>
      </c>
      <c r="M52" s="4">
        <v>42884</v>
      </c>
      <c r="N52" s="5">
        <v>17</v>
      </c>
      <c r="O52" s="5" t="str">
        <f>"007262"</f>
        <v>007262</v>
      </c>
      <c r="P52" s="4">
        <v>43407</v>
      </c>
      <c r="Q52" s="7">
        <v>48.952210000000001</v>
      </c>
      <c r="R52" s="7">
        <v>6.7760999999999996</v>
      </c>
      <c r="S52" s="7">
        <v>42.176110000000001</v>
      </c>
      <c r="T52" s="5">
        <v>266</v>
      </c>
      <c r="U52" s="4">
        <v>43420</v>
      </c>
      <c r="V52" s="5">
        <v>9480828222</v>
      </c>
      <c r="W52" s="6" t="s">
        <v>56</v>
      </c>
      <c r="X52" s="5" t="s">
        <v>55</v>
      </c>
      <c r="Y52" s="6" t="s">
        <v>54</v>
      </c>
      <c r="Z52" s="5" t="s">
        <v>67</v>
      </c>
      <c r="AA52" s="6" t="s">
        <v>68</v>
      </c>
      <c r="AB52" s="7">
        <f>Q52/100</f>
        <v>0.48952210000000002</v>
      </c>
      <c r="AD52" s="8"/>
      <c r="AF52" s="8"/>
      <c r="AG52" s="8"/>
    </row>
    <row r="53" spans="1:33" x14ac:dyDescent="0.2">
      <c r="A53" s="12">
        <v>8097</v>
      </c>
      <c r="B53" s="13" t="s">
        <v>42</v>
      </c>
      <c r="C53" s="13">
        <v>43462</v>
      </c>
      <c r="D53" s="5">
        <v>54</v>
      </c>
      <c r="E53" s="6" t="s">
        <v>63</v>
      </c>
      <c r="F53" s="5" t="s">
        <v>187</v>
      </c>
      <c r="G53" s="6" t="s">
        <v>188</v>
      </c>
      <c r="H53" s="5" t="str">
        <f>"000191"</f>
        <v>000191</v>
      </c>
      <c r="I53" s="4">
        <v>43190</v>
      </c>
      <c r="J53" s="5" t="str">
        <f>"000107"</f>
        <v>000107</v>
      </c>
      <c r="K53" s="4">
        <v>43190</v>
      </c>
      <c r="L53" s="5" t="str">
        <f>"000289"</f>
        <v>000289</v>
      </c>
      <c r="M53" s="4">
        <v>43190</v>
      </c>
      <c r="N53" s="5">
        <v>17</v>
      </c>
      <c r="O53" s="5" t="str">
        <f>"008164"</f>
        <v>008164</v>
      </c>
      <c r="P53" s="4">
        <v>43455</v>
      </c>
      <c r="Q53" s="7">
        <v>5.1791900000000002</v>
      </c>
      <c r="R53" s="7">
        <v>0.51163999999999998</v>
      </c>
      <c r="S53" s="7">
        <v>4.6675500000000003</v>
      </c>
      <c r="T53" s="5">
        <v>306</v>
      </c>
      <c r="U53" s="4">
        <v>43462</v>
      </c>
      <c r="V53" s="5">
        <v>9900262273</v>
      </c>
      <c r="W53" s="6" t="s">
        <v>189</v>
      </c>
      <c r="X53" s="5" t="s">
        <v>31</v>
      </c>
      <c r="Y53" s="6" t="s">
        <v>32</v>
      </c>
      <c r="Z53" s="5" t="s">
        <v>67</v>
      </c>
      <c r="AA53" s="6" t="s">
        <v>68</v>
      </c>
      <c r="AB53" s="7">
        <f>Q53/100</f>
        <v>5.1791900000000002E-2</v>
      </c>
      <c r="AD53" s="8"/>
      <c r="AF53" s="8"/>
      <c r="AG53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2019-01-14T13:54:35Z</dcterms:modified>
</cp:coreProperties>
</file>