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66" i="1" l="1"/>
  <c r="O66" i="1"/>
  <c r="L66" i="1"/>
  <c r="J66" i="1"/>
  <c r="H66" i="1"/>
  <c r="AB65" i="1"/>
  <c r="O65" i="1"/>
  <c r="L65" i="1"/>
  <c r="J65" i="1"/>
  <c r="H65" i="1"/>
  <c r="AB64" i="1"/>
  <c r="O64" i="1"/>
  <c r="L64" i="1"/>
  <c r="J64" i="1"/>
  <c r="H64" i="1"/>
  <c r="AB63" i="1"/>
  <c r="O63" i="1"/>
  <c r="L63" i="1"/>
  <c r="J63" i="1"/>
  <c r="H63" i="1"/>
  <c r="AB62" i="1"/>
  <c r="O62" i="1"/>
  <c r="L62" i="1"/>
  <c r="J62" i="1"/>
  <c r="H62" i="1"/>
  <c r="AB61" i="1"/>
  <c r="O61" i="1"/>
  <c r="L61" i="1"/>
  <c r="J61" i="1"/>
  <c r="H61" i="1"/>
  <c r="AB60" i="1"/>
  <c r="O60" i="1"/>
  <c r="L60" i="1"/>
  <c r="J60" i="1"/>
  <c r="H60" i="1"/>
  <c r="AB59" i="1"/>
  <c r="O59" i="1"/>
  <c r="L59" i="1"/>
  <c r="J59" i="1"/>
  <c r="H59" i="1"/>
  <c r="AB58" i="1"/>
  <c r="O58" i="1"/>
  <c r="L58" i="1"/>
  <c r="J58" i="1"/>
  <c r="H58" i="1"/>
  <c r="AB57" i="1"/>
  <c r="O57" i="1"/>
  <c r="L57" i="1"/>
  <c r="J57" i="1"/>
  <c r="H57" i="1"/>
  <c r="AB56" i="1"/>
  <c r="O56" i="1"/>
  <c r="L56" i="1"/>
  <c r="J56" i="1"/>
  <c r="H56" i="1"/>
  <c r="AB55" i="1"/>
  <c r="O55" i="1"/>
  <c r="L55" i="1"/>
  <c r="J55" i="1"/>
  <c r="H55" i="1"/>
  <c r="AB54" i="1"/>
  <c r="O54" i="1"/>
  <c r="L54" i="1"/>
  <c r="J54" i="1"/>
  <c r="H54" i="1"/>
  <c r="AB53" i="1"/>
  <c r="O53" i="1"/>
  <c r="L53" i="1"/>
  <c r="J53" i="1"/>
  <c r="H53" i="1"/>
  <c r="AB52" i="1"/>
  <c r="O52" i="1"/>
  <c r="L52" i="1"/>
  <c r="J52" i="1"/>
  <c r="H52" i="1"/>
  <c r="AB51" i="1"/>
  <c r="O51" i="1"/>
  <c r="L51" i="1"/>
  <c r="J51" i="1"/>
  <c r="H51" i="1"/>
  <c r="AB50" i="1"/>
  <c r="O50" i="1"/>
  <c r="L50" i="1"/>
  <c r="J50" i="1"/>
  <c r="H50" i="1"/>
  <c r="AB49" i="1"/>
  <c r="O49" i="1"/>
  <c r="L49" i="1"/>
  <c r="J49" i="1"/>
  <c r="H49" i="1"/>
  <c r="AB48" i="1"/>
  <c r="O48" i="1"/>
  <c r="L48" i="1"/>
  <c r="J48" i="1"/>
  <c r="H48" i="1"/>
  <c r="AB47" i="1"/>
  <c r="O47" i="1"/>
  <c r="L47" i="1"/>
  <c r="J47" i="1"/>
  <c r="H47" i="1"/>
  <c r="AB46" i="1"/>
  <c r="O46" i="1"/>
  <c r="L46" i="1"/>
  <c r="J46" i="1"/>
  <c r="H46" i="1"/>
  <c r="O45" i="1"/>
  <c r="L45" i="1"/>
  <c r="J45" i="1"/>
  <c r="H45" i="1"/>
  <c r="O44" i="1"/>
  <c r="L44" i="1"/>
  <c r="J44" i="1"/>
  <c r="H44" i="1"/>
  <c r="O43" i="1"/>
  <c r="L43" i="1"/>
  <c r="J43" i="1"/>
  <c r="H43" i="1"/>
  <c r="O42" i="1"/>
  <c r="L42" i="1"/>
  <c r="J42" i="1"/>
  <c r="H42" i="1"/>
  <c r="O41" i="1"/>
  <c r="L41" i="1"/>
  <c r="J41" i="1"/>
  <c r="H41" i="1"/>
  <c r="O40" i="1"/>
  <c r="L40" i="1"/>
  <c r="J40" i="1"/>
  <c r="H40" i="1"/>
  <c r="O39" i="1"/>
  <c r="L39" i="1"/>
  <c r="J39" i="1"/>
  <c r="H39" i="1"/>
  <c r="O38" i="1"/>
  <c r="L38" i="1"/>
  <c r="J38" i="1"/>
  <c r="H38" i="1"/>
  <c r="O37" i="1"/>
  <c r="L37" i="1"/>
  <c r="J37" i="1"/>
  <c r="H37" i="1"/>
  <c r="O36" i="1"/>
  <c r="L36" i="1"/>
  <c r="J36" i="1"/>
  <c r="H36" i="1"/>
  <c r="O35" i="1"/>
  <c r="L35" i="1"/>
  <c r="J35" i="1"/>
  <c r="H35" i="1"/>
  <c r="O34" i="1"/>
  <c r="L34" i="1"/>
  <c r="J34" i="1"/>
  <c r="H34" i="1"/>
  <c r="O33" i="1"/>
  <c r="L33" i="1"/>
  <c r="J33" i="1"/>
  <c r="H33" i="1"/>
  <c r="O32" i="1"/>
  <c r="L32" i="1"/>
  <c r="J32" i="1"/>
  <c r="H32" i="1"/>
  <c r="O31" i="1"/>
  <c r="L31" i="1"/>
  <c r="J31" i="1"/>
  <c r="H31" i="1"/>
  <c r="O30" i="1"/>
  <c r="L30" i="1"/>
  <c r="J30" i="1"/>
  <c r="H30" i="1"/>
  <c r="O29" i="1"/>
  <c r="L29" i="1"/>
  <c r="J29" i="1"/>
  <c r="H29" i="1"/>
  <c r="O28" i="1"/>
  <c r="L28" i="1"/>
  <c r="J28" i="1"/>
  <c r="H28" i="1"/>
  <c r="O27" i="1"/>
  <c r="L27" i="1"/>
  <c r="J27" i="1"/>
  <c r="H27" i="1"/>
  <c r="O26" i="1"/>
  <c r="L26" i="1"/>
  <c r="J26" i="1"/>
  <c r="H26" i="1"/>
  <c r="O25" i="1"/>
  <c r="L25" i="1"/>
  <c r="J25" i="1"/>
  <c r="H25" i="1"/>
  <c r="O24" i="1"/>
  <c r="L24" i="1"/>
  <c r="J24" i="1"/>
  <c r="H24" i="1"/>
  <c r="O23" i="1"/>
  <c r="L23" i="1"/>
  <c r="J23" i="1"/>
  <c r="H23" i="1"/>
  <c r="O22" i="1"/>
  <c r="L22" i="1"/>
  <c r="J22" i="1"/>
  <c r="H22" i="1"/>
  <c r="O21" i="1"/>
  <c r="L21" i="1"/>
  <c r="J21" i="1"/>
  <c r="H21" i="1"/>
  <c r="O20" i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<sst xmlns="http://schemas.openxmlformats.org/spreadsheetml/2006/main" count="613" uniqueCount="210">
  <si>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</si>
  <si>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</si>
  <si>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</si>
  <si>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</si>
  <si>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</si>
  <si>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</si>
  <si>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</si>
  <si>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</si>
  <si>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</si>
  <si>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</si>
  <si>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</si>
  <si>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</si>
  <si>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</si>
  <si>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</si>
  <si>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</si>
  <si>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</si>
  <si>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</si>
  <si>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</si>
  <si>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</si>
  <si>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</si>
  <si>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</si>
  <si>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</si>
  <si>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</si>
  <si>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</si>
  <si>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</si>
  <si>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</si>
  <si>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</si>
  <si>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</si>
  <si>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P3158</t>
  </si>
  <si>
    <t>SIP Infrastructure Project works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</si>
  <si>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</si>
  <si>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</si>
  <si>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</si>
  <si>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</si>
  <si>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</si>
  <si>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</si>
  <si>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June</t>
  </si>
  <si>
    <t>May</t>
  </si>
  <si>
    <t>September</t>
  </si>
  <si>
    <t>P3110</t>
  </si>
  <si>
    <t>14th Finance Commission Grant Works</t>
  </si>
  <si>
    <t>November</t>
  </si>
  <si>
    <t>December</t>
  </si>
  <si>
    <t>Nagarothana Works</t>
  </si>
  <si>
    <t>P3106</t>
  </si>
  <si>
    <t>October</t>
  </si>
  <si>
    <t>State Finance Commission Untied Grant Works</t>
  </si>
  <si>
    <t>P3111</t>
  </si>
  <si>
    <t>April</t>
  </si>
  <si>
    <t>M and R to Electrical Crematoria</t>
  </si>
  <si>
    <t>P0287</t>
  </si>
  <si>
    <t>18per - Works (Bhagyajyothi, Sooru / Neeru Yojane and General) (54 Lakhs / New Wards)</t>
  </si>
  <si>
    <t>P1878</t>
  </si>
  <si>
    <t>Water Supply New Areas</t>
  </si>
  <si>
    <t>P1802</t>
  </si>
  <si>
    <t>KRIDL</t>
  </si>
  <si>
    <t>Works sanctioned by Hon Mayor</t>
  </si>
  <si>
    <t>P0190</t>
  </si>
  <si>
    <t>M/s.KRIDL</t>
  </si>
  <si>
    <t>14th Finance Commission Works - Providing Street Lights and Maintenance</t>
  </si>
  <si>
    <t>P3290</t>
  </si>
  <si>
    <t xml:space="preserve">M/s KRIDL </t>
  </si>
  <si>
    <t>M/s KRIDL</t>
  </si>
  <si>
    <t>P2178</t>
  </si>
  <si>
    <t>Works sanctioned by Dy. Mayor</t>
  </si>
  <si>
    <t>ddo089</t>
  </si>
  <si>
    <t xml:space="preserve"> Assistant Executive Engineer Electrical East Zone</t>
  </si>
  <si>
    <t>Naveen Krishnaiah</t>
  </si>
  <si>
    <t>J. Naveen</t>
  </si>
  <si>
    <t>ddo079</t>
  </si>
  <si>
    <t xml:space="preserve"> Assistant Executive Engineer K G Halli East Zone</t>
  </si>
  <si>
    <t>P0541</t>
  </si>
  <si>
    <t>Emergency Reserve Fund</t>
  </si>
  <si>
    <t>Sagayara Puram</t>
  </si>
  <si>
    <t>060-18-000071</t>
  </si>
  <si>
    <t>CONSTRUCTION OF BANGALORE ONE CENTER IN NEW BAGALUR LAYOUT MAIN ROAD IN WARD NO 60 SAGAYAPURAM</t>
  </si>
  <si>
    <t>P2652</t>
  </si>
  <si>
    <t>Contribution to Community Benefits</t>
  </si>
  <si>
    <t>060-18-000057</t>
  </si>
  <si>
    <t>IMPROVEMENTS TO DRAINS IN NEW BAGALUR LAYOUT IN WARD NO 60 SAGAYAPURAM</t>
  </si>
  <si>
    <t>060-18-000042</t>
  </si>
  <si>
    <t>CONSTRUCTION OF CDS IN OLD BAGALUR LAYOUT NORTH SIDE IN WARD NO 60 SAGAYAPURAM</t>
  </si>
  <si>
    <t>060-18-000043</t>
  </si>
  <si>
    <t>CONSTRUCTION OF CDS IN OLD BAGALUR LAYOUT SOSUTH SIDE IN WARD NO 60 SAGAYAPURAM</t>
  </si>
  <si>
    <t>060-17-000037</t>
  </si>
  <si>
    <t>Repairs and Renovation of toilet at 3rd cross road old bagalor layout in ward no 60</t>
  </si>
  <si>
    <t>060-17-000018</t>
  </si>
  <si>
    <t>Filling of Pot holes to Asphalting roads in Ward No.60</t>
  </si>
  <si>
    <t>V.L. Muniraju</t>
  </si>
  <si>
    <t>060-18-000084</t>
  </si>
  <si>
    <t>CONSTRUCTION OF CDS IN 8TH MAIN NEW BAGALUR LAYOUT NORTH SIDE IN WARD NO 60 SAGAYAPURAM</t>
  </si>
  <si>
    <t>060-16-000017</t>
  </si>
  <si>
    <t>Providing of Streetlights, Control Switches , Control Wire Etc., to Sagayapura ward 60</t>
  </si>
  <si>
    <t>M/s.Lakshmikantha Electricals</t>
  </si>
  <si>
    <t>060-16-000023</t>
  </si>
  <si>
    <t>Desilting of drain in New Bagalur layout in ward no 060</t>
  </si>
  <si>
    <t>060-16-000024</t>
  </si>
  <si>
    <t>Desilting of drain in Old Bagalur layout in ward no 60</t>
  </si>
  <si>
    <t>060-18-000085</t>
  </si>
  <si>
    <t>CONSTRUCTION OF CDS IN 8TH MAIN NEW BAGALUR LAYOUT SOUTH SIDE IN WARD NO 60 SAGAYAPURAM</t>
  </si>
  <si>
    <t>060-16-000006</t>
  </si>
  <si>
    <t>DESILTING OF DRAINS RAMABAI COLONY AND SURROUNDING AREA IN WARD NO 60</t>
  </si>
  <si>
    <t>V. Srinivas</t>
  </si>
  <si>
    <t>060-18-000551</t>
  </si>
  <si>
    <t>Improvement and Asphalting to roads in St Mary s school cross roads and Pillanna garden ward no 60 Pulikeshinagara Constituency</t>
  </si>
  <si>
    <t>060-18-000552</t>
  </si>
  <si>
    <t>Improvement and Asphalting to roads in Subramanya temple surrounding of ward no 60 Pulikeshinagara Constituency</t>
  </si>
  <si>
    <t>060-17-000042</t>
  </si>
  <si>
    <t>ANNUAL MAINTENANCE OF BORE WELL AND MINI WATER SUPPLY LANE IN WARD NO 60</t>
  </si>
  <si>
    <t>060-17-000034</t>
  </si>
  <si>
    <t>Construction of P U College School Building in Pillanna Garden in ward no 60</t>
  </si>
  <si>
    <t>060-18-000089</t>
  </si>
  <si>
    <t>IMPROVEMENTS TO CC ROADS IN 14TH CROSS NEW BAGALUR LAYOUT IN WARD NO 60 SAGAYAPURAM</t>
  </si>
  <si>
    <t>060-18-000090</t>
  </si>
  <si>
    <t>IMPROVEMENTS TO CC ROADS IN 15TH CROSS NEW BAGALUR LAYOUT IN WARD NO 60 SAGAYAPURAM</t>
  </si>
  <si>
    <t>060-18-000044</t>
  </si>
  <si>
    <t>IMPROVEMENTS TO CC ROADS IN RAMABAI COLONY IN WARD NO 60 SAGAYAPURAM</t>
  </si>
  <si>
    <t>060-18-000052</t>
  </si>
  <si>
    <t>REMOVING SILT NAD DEBRIS IN OLD BAGALUR LAYOUT AND SURROUNDING AREAS IN WARD NO 60 SAGAYAPURAM</t>
  </si>
  <si>
    <t>060-18-000080</t>
  </si>
  <si>
    <t>VERTICAL EXTENSION OF SECOND FLOOR BBMP PUC BUILDING AND OTHER BALANCE WORKS AT PILLANNA GARDEN IN WARD NO 60 SAGAYAPURAM</t>
  </si>
  <si>
    <t>060-18-000087</t>
  </si>
  <si>
    <t>IMPROVEMENTS TO CC ROADS IN 8TH MAIN FROM 1ST CROSS TO 10TH CROSS IN NEW BAGALUR LAYOUT IN WARD NO 60 SAGAYAPURAM</t>
  </si>
  <si>
    <t>060-18-000091</t>
  </si>
  <si>
    <t>IMPROVEMNTS TO CC ROADS IN RAMABAI COLONY IN WARD NO 60 SAGAYAPURAM</t>
  </si>
  <si>
    <t>060-16-000001</t>
  </si>
  <si>
    <t>Providing Electrification for proposed renovating of slaughter house at tannery road in ward no 60</t>
  </si>
  <si>
    <t>M/s.Powertech Electricals</t>
  </si>
  <si>
    <t>060-18-000069</t>
  </si>
  <si>
    <t>PROVIDING FED LIGHINGS AND POWER BACKUP ARRANGEMENTS IN CHARLES GROUND IN WARD NO 60 SAGAYAPURAM</t>
  </si>
  <si>
    <t>060-16-000002</t>
  </si>
  <si>
    <t>Operation and Maintenance of street lights at Sagayapuram and S.K.Garden area ward no,s 60 and 61 Package E 9for one year.</t>
  </si>
  <si>
    <t>M/s Srinath Electricals</t>
  </si>
  <si>
    <t>060-18-000005</t>
  </si>
  <si>
    <t>Improvements to conservancy lane between Hall road and Devis road from Clarke road to SW drain in ward no 60</t>
  </si>
  <si>
    <t>060-18-000006</t>
  </si>
  <si>
    <t>Improvements to conservancy lanechurch parallel to Devis road in ward no 60</t>
  </si>
  <si>
    <t>060-16-000025</t>
  </si>
  <si>
    <t>Desilting of drain in 8th cross New Bagalur layout in ward no 60</t>
  </si>
  <si>
    <t>060-18-000088</t>
  </si>
  <si>
    <t>IMPROVEMENTS TO CC ROADS IN 8TH MAIN FROM 11TH CROSS TO 20TH CROSS IN NEW BAGALUR LAYOUT IN WARD NO 60 SAGAYAPURAM</t>
  </si>
  <si>
    <t>060-18-000050</t>
  </si>
  <si>
    <t>CONSTRUCTION OF CHAIN LINK FENCING AND PROTECTION TO BESCOM TRANSFORMS IN NEW BAGALUR LAYOUT IN WARD NO 60 SAGAYAPURAM</t>
  </si>
  <si>
    <t>060-16-000018</t>
  </si>
  <si>
    <t>Providing LED lights with connected accessories in L.R. Bande and sultan palya surrounding area ward no60</t>
  </si>
  <si>
    <t>060-17-000016</t>
  </si>
  <si>
    <t>Providing LED lights at ward jurisidictions in ward no 60</t>
  </si>
  <si>
    <t>060-12-000019</t>
  </si>
  <si>
    <t>IMPROVEMENT TO FOOTPATH AT TANNERY ROAD IN WARD NO 60</t>
  </si>
  <si>
    <t>Khalid Rahim</t>
  </si>
  <si>
    <t>060-17-000023</t>
  </si>
  <si>
    <t>Desilting of drains at New Bagalur Layout crosses and surrounding area in Ward No.60</t>
  </si>
  <si>
    <t>060-17-000021</t>
  </si>
  <si>
    <t>Desilting of drains at Giddappa Block, Kandaswamy Modaliar roads and surrounding area in Ward No.60</t>
  </si>
  <si>
    <t>060-17-000022</t>
  </si>
  <si>
    <t>Desilting of drains at Old Bagalur Layout crosses and surrounding area in Ward No.60</t>
  </si>
  <si>
    <t>060-17-000020</t>
  </si>
  <si>
    <t>Desilting of drains at Devis road and surrounding area in Ward No.60</t>
  </si>
  <si>
    <t>J.Naveen</t>
  </si>
  <si>
    <t>060-18-000047</t>
  </si>
  <si>
    <t>DEVELOPMENT OF ROADS IN 12,13TH AND 14TH CROSS OLD BAGALUR LAYOUT AND PILLANNA GARDEN IN WARD NO 60 SAGAYAPURAM</t>
  </si>
  <si>
    <t>060-18-000092</t>
  </si>
  <si>
    <t xml:space="preserve">IMPROVEMENTS IN GOSPHAL STREET IN WARD NO 60 SAGAYAPURAM </t>
  </si>
  <si>
    <t>060-18-000093</t>
  </si>
  <si>
    <t>CONSTRUCTION OF SC/ST COMMUNITY HOUSES IN MS BUILDING PK COLONY IN WARD NO 60 SAGAYAPURAM</t>
  </si>
  <si>
    <t>060-18-000051</t>
  </si>
  <si>
    <t>REMOVING SILT AND DEBRIS IN NEW BAGALUR LAYOUT AND SURROUNDING AREA IN WARD NO 60 SAGAYAPURAM</t>
  </si>
  <si>
    <t>060-18-000070</t>
  </si>
  <si>
    <t>CONSTRUCTION OF GYM BUILDING IN OLD BAGALUR LAYOUT IN WARD NO 60 SAGAYAPURAM</t>
  </si>
  <si>
    <t>060-18-000049</t>
  </si>
  <si>
    <t>INSTALLATION OF CCC CAMERA IN NEW BAGALUR LAYOUT AND SURROUNDING  AREA  IN WARD NO 60 SAGAYAPURAM</t>
  </si>
  <si>
    <t>060-18-000066</t>
  </si>
  <si>
    <t>CONSTRUCTION OF OFFICE BUILDING STAGE ENTRANCE ARCH AND OTHER CIVIL WORKS IN CHARLES GROUND IN WARD NO 60 SAGAYAPURAM</t>
  </si>
  <si>
    <t>060-18-000058</t>
  </si>
  <si>
    <t>DEVELOPMENTAL WORKS IN PK COLONY AND SURROUNDING AREA IN WARD NO 60 SAGAYAPURAM</t>
  </si>
  <si>
    <t>Improvement and Asphalting to roads in Subramanya temple surrounding of  ward no 60 Pulikeshinagara Constituency</t>
  </si>
  <si>
    <t>060-16-000021</t>
  </si>
  <si>
    <t xml:space="preserve">Desilting of SWD near burial ground old Bagalsur layout in ward no 60 </t>
  </si>
  <si>
    <t>060-18-000063</t>
  </si>
  <si>
    <t>MAINTAINANCE OF COMMUNITY TOILETS IN WARD NO 60 SAGAYAPURAM</t>
  </si>
  <si>
    <t>060-18-000048</t>
  </si>
  <si>
    <t>CONSTRUCTION OF COMMUNITY HALL AND DEVELOPMENTAL WORKS NEAR LINGARAJAPURA FLY OVER IN WARD NO 60 SAGAYAPURA</t>
  </si>
  <si>
    <t>060-18-000702</t>
  </si>
  <si>
    <t xml:space="preserve">Providing Chain link fencing and Other Civil work around Indira Canteen in Ward No. 60 Sagayapuram   </t>
  </si>
  <si>
    <t>060-18-000525</t>
  </si>
  <si>
    <t>Providing and installation of street lights in ward no 60 Sagayapuram</t>
  </si>
  <si>
    <t>060-17-000093</t>
  </si>
  <si>
    <t>Engagement of Gangman and Hiring of Tractor Tippers for cleaning and Maintenance of road side drains and other cleaning works in  works in ward no 60</t>
  </si>
  <si>
    <t>Abbu Sambasiva Reddy</t>
  </si>
  <si>
    <t>060-17-000031</t>
  </si>
  <si>
    <t>Development of Secondary drains Territary drains at Ward No 60 Sagaypuram</t>
  </si>
  <si>
    <t>060-16-000022</t>
  </si>
  <si>
    <t>Desilting of SWD near Doddi Pottary road in ward no 60</t>
  </si>
  <si>
    <t>060-17-000025</t>
  </si>
  <si>
    <t>Improvements to roads and drains at Pillanna Garden and surrounding area in Ward No.60</t>
  </si>
  <si>
    <t>Hombegowda</t>
  </si>
  <si>
    <t>060-17-000026</t>
  </si>
  <si>
    <t>Construction of culverts in Ward No.60</t>
  </si>
  <si>
    <t>060-16-000008</t>
  </si>
  <si>
    <t>DESILTING OF DRAINS RICHARDS TOWN AND SURROUNDING AREA IN WARD NO 60</t>
  </si>
  <si>
    <t>Ajaz</t>
  </si>
  <si>
    <t>060-18-000056</t>
  </si>
  <si>
    <t>PROVIDING AND FIXING ORNAMENTAL NAME BOARDS IN WARD NO 60 SAGAYAPURAM</t>
  </si>
  <si>
    <t>060-17-000024</t>
  </si>
  <si>
    <t>Improvements to roads and drains at Ghasphal street and surrounding area in Ward No.60</t>
  </si>
  <si>
    <t>060-16-000003</t>
  </si>
  <si>
    <t>IMPROVEMENTS TO DRAIN  AND CULVERT AT DEVIS ROAD IN WARD NO 60</t>
  </si>
  <si>
    <t>060-16-000004</t>
  </si>
  <si>
    <t>IMPROVEMENTS TO DRAIN AT LAZAR LAYOUT IN WARD NO 60</t>
  </si>
  <si>
    <t>B.R. Pradeep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</si>
</sst>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6"/>
  <sheetViews>
    <sheetView tabSelected="1" workbookViewId="0">
      <selection activeCell="A2" sqref="A2:XFD66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576</v>
      </c>
      <c r="B2" s="13" t="s">
        <v>48</v>
      </c>
      <c r="C2" s="13">
        <v>43213</v>
      </c>
      <c r="D2" s="5">
        <v>60</v>
      </c>
      <c r="E2" s="6" t="s">
        <v>73</v>
      </c>
      <c r="F2" s="5" t="s">
        <v>74</v>
      </c>
      <c r="G2" s="6" t="s">
        <v>75</v>
      </c>
      <c r="H2" s="5" t="str">
        <f>"000207"</f>
        <v>000207</v>
      </c>
      <c r="I2" s="4">
        <v>43129</v>
      </c>
      <c r="J2" s="5" t="str">
        <f>"000111"</f>
        <v>000111</v>
      </c>
      <c r="K2" s="4">
        <v>43171</v>
      </c>
      <c r="L2" s="5" t="str">
        <f>"000199"</f>
        <v>000199</v>
      </c>
      <c r="M2" s="4">
        <v>43173</v>
      </c>
      <c r="N2" s="5">
        <v>18</v>
      </c>
      <c r="O2" s="5" t="str">
        <f>"000552"</f>
        <v>000552</v>
      </c>
      <c r="P2" s="4">
        <v>43203</v>
      </c>
      <c r="Q2" s="7">
        <v>22.242799999999999</v>
      </c>
      <c r="R2" s="7">
        <v>3.4737</v>
      </c>
      <c r="S2" s="7">
        <v>18.769100000000002</v>
      </c>
      <c r="T2" s="5">
        <v>21</v>
      </c>
      <c r="U2" s="4">
        <v>43213</v>
      </c>
      <c r="V2" s="5">
        <v>9880224948</v>
      </c>
      <c r="W2" s="6" t="s">
        <v>62</v>
      </c>
      <c r="X2" s="5" t="s">
        <v>76</v>
      </c>
      <c r="Y2" s="6" t="s">
        <v>77</v>
      </c>
      <c r="Z2" s="5" t="s">
        <v>69</v>
      </c>
      <c r="AA2" s="6" t="s">
        <v>70</v>
      </c>
      <c r="AB2" s="7">
        <v>0.22242799999999999</v>
      </c>
      <c r="AD2" s="8"/>
      <c r="AF2" s="8"/>
      <c r="AG2" s="8"/>
    </row>
    <row r="3" spans="1:33" x14ac:dyDescent="0.2">
      <c r="A3" s="12">
        <v>577</v>
      </c>
      <c r="B3" s="13" t="s">
        <v>48</v>
      </c>
      <c r="C3" s="13">
        <v>43213</v>
      </c>
      <c r="D3" s="5">
        <v>60</v>
      </c>
      <c r="E3" s="6" t="s">
        <v>73</v>
      </c>
      <c r="F3" s="5" t="s">
        <v>78</v>
      </c>
      <c r="G3" s="6" t="s">
        <v>79</v>
      </c>
      <c r="H3" s="5" t="str">
        <f>"000199"</f>
        <v>000199</v>
      </c>
      <c r="I3" s="4">
        <v>43116</v>
      </c>
      <c r="J3" s="5" t="str">
        <f>"000113"</f>
        <v>000113</v>
      </c>
      <c r="K3" s="4">
        <v>43181</v>
      </c>
      <c r="L3" s="5" t="str">
        <f>"000207"</f>
        <v>000207</v>
      </c>
      <c r="M3" s="4">
        <v>43181</v>
      </c>
      <c r="N3" s="5">
        <v>18</v>
      </c>
      <c r="O3" s="5" t="str">
        <f>"000553"</f>
        <v>000553</v>
      </c>
      <c r="P3" s="4">
        <v>43203</v>
      </c>
      <c r="Q3" s="7">
        <v>49.93356</v>
      </c>
      <c r="R3" s="7">
        <v>4.3654999999999999</v>
      </c>
      <c r="S3" s="7">
        <v>45.568060000000003</v>
      </c>
      <c r="T3" s="5">
        <v>21</v>
      </c>
      <c r="U3" s="4">
        <v>43213</v>
      </c>
      <c r="V3" s="5">
        <v>9945568501</v>
      </c>
      <c r="W3" s="6" t="s">
        <v>62</v>
      </c>
      <c r="X3" s="5" t="s">
        <v>52</v>
      </c>
      <c r="Y3" s="6" t="s">
        <v>51</v>
      </c>
      <c r="Z3" s="5" t="s">
        <v>69</v>
      </c>
      <c r="AA3" s="6" t="s">
        <v>70</v>
      </c>
      <c r="AB3" s="7">
        <v>0.49933559999999999</v>
      </c>
      <c r="AD3" s="8"/>
      <c r="AF3" s="8"/>
      <c r="AG3" s="8"/>
    </row>
    <row r="4" spans="1:33" x14ac:dyDescent="0.2">
      <c r="A4" s="12">
        <v>578</v>
      </c>
      <c r="B4" s="13" t="s">
        <v>48</v>
      </c>
      <c r="C4" s="13">
        <v>43213</v>
      </c>
      <c r="D4" s="5">
        <v>60</v>
      </c>
      <c r="E4" s="6" t="s">
        <v>73</v>
      </c>
      <c r="F4" s="5" t="s">
        <v>80</v>
      </c>
      <c r="G4" s="6" t="s">
        <v>81</v>
      </c>
      <c r="H4" s="5" t="str">
        <f>"000198"</f>
        <v>000198</v>
      </c>
      <c r="I4" s="4">
        <v>43116</v>
      </c>
      <c r="J4" s="5" t="str">
        <f>"000115"</f>
        <v>000115</v>
      </c>
      <c r="K4" s="4">
        <v>43181</v>
      </c>
      <c r="L4" s="5" t="str">
        <f>"000206"</f>
        <v>000206</v>
      </c>
      <c r="M4" s="4">
        <v>43181</v>
      </c>
      <c r="N4" s="5">
        <v>18</v>
      </c>
      <c r="O4" s="5" t="str">
        <f>"000554"</f>
        <v>000554</v>
      </c>
      <c r="P4" s="4">
        <v>43203</v>
      </c>
      <c r="Q4" s="7">
        <v>29.44295</v>
      </c>
      <c r="R4" s="7">
        <v>2.6074999999999999</v>
      </c>
      <c r="S4" s="7">
        <v>26.835450000000002</v>
      </c>
      <c r="T4" s="5">
        <v>21</v>
      </c>
      <c r="U4" s="4">
        <v>43213</v>
      </c>
      <c r="V4" s="5">
        <v>9945568501</v>
      </c>
      <c r="W4" s="6" t="s">
        <v>62</v>
      </c>
      <c r="X4" s="5" t="s">
        <v>52</v>
      </c>
      <c r="Y4" s="6" t="s">
        <v>51</v>
      </c>
      <c r="Z4" s="5" t="s">
        <v>69</v>
      </c>
      <c r="AA4" s="6" t="s">
        <v>70</v>
      </c>
      <c r="AB4" s="7">
        <v>0.29442950000000001</v>
      </c>
      <c r="AD4" s="8"/>
      <c r="AF4" s="8"/>
      <c r="AG4" s="8"/>
    </row>
    <row r="5" spans="1:33" x14ac:dyDescent="0.2">
      <c r="A5" s="12">
        <v>579</v>
      </c>
      <c r="B5" s="13" t="s">
        <v>48</v>
      </c>
      <c r="C5" s="13">
        <v>43213</v>
      </c>
      <c r="D5" s="5">
        <v>60</v>
      </c>
      <c r="E5" s="6" t="s">
        <v>73</v>
      </c>
      <c r="F5" s="5" t="s">
        <v>82</v>
      </c>
      <c r="G5" s="6" t="s">
        <v>83</v>
      </c>
      <c r="H5" s="5" t="str">
        <f>"000197"</f>
        <v>000197</v>
      </c>
      <c r="I5" s="4">
        <v>43116</v>
      </c>
      <c r="J5" s="5" t="str">
        <f>"000114"</f>
        <v>000114</v>
      </c>
      <c r="K5" s="4">
        <v>43181</v>
      </c>
      <c r="L5" s="5" t="str">
        <f>"000208"</f>
        <v>000208</v>
      </c>
      <c r="M5" s="4">
        <v>43181</v>
      </c>
      <c r="N5" s="5">
        <v>18</v>
      </c>
      <c r="O5" s="5" t="str">
        <f>"000555"</f>
        <v>000555</v>
      </c>
      <c r="P5" s="4">
        <v>43203</v>
      </c>
      <c r="Q5" s="7">
        <v>29.795249999999999</v>
      </c>
      <c r="R5" s="7">
        <v>2.617</v>
      </c>
      <c r="S5" s="7">
        <v>27.178249999999998</v>
      </c>
      <c r="T5" s="5">
        <v>21</v>
      </c>
      <c r="U5" s="4">
        <v>43213</v>
      </c>
      <c r="V5" s="5">
        <v>9945568501</v>
      </c>
      <c r="W5" s="6" t="s">
        <v>62</v>
      </c>
      <c r="X5" s="5" t="s">
        <v>52</v>
      </c>
      <c r="Y5" s="6" t="s">
        <v>51</v>
      </c>
      <c r="Z5" s="5" t="s">
        <v>69</v>
      </c>
      <c r="AA5" s="6" t="s">
        <v>70</v>
      </c>
      <c r="AB5" s="7">
        <v>0.29795250000000001</v>
      </c>
      <c r="AD5" s="8"/>
      <c r="AF5" s="8"/>
      <c r="AG5" s="8"/>
    </row>
    <row r="6" spans="1:33" x14ac:dyDescent="0.2">
      <c r="A6" s="12">
        <v>655</v>
      </c>
      <c r="B6" s="13" t="s">
        <v>48</v>
      </c>
      <c r="C6" s="13">
        <v>43215</v>
      </c>
      <c r="D6" s="5">
        <v>60</v>
      </c>
      <c r="E6" s="6" t="s">
        <v>73</v>
      </c>
      <c r="F6" s="5" t="s">
        <v>84</v>
      </c>
      <c r="G6" s="6" t="s">
        <v>85</v>
      </c>
      <c r="H6" s="5" t="str">
        <f>"000154"</f>
        <v>000154</v>
      </c>
      <c r="I6" s="4">
        <v>43073</v>
      </c>
      <c r="J6" s="5" t="str">
        <f>"000108"</f>
        <v>000108</v>
      </c>
      <c r="K6" s="4">
        <v>43165</v>
      </c>
      <c r="L6" s="5" t="str">
        <f>"000192"</f>
        <v>000192</v>
      </c>
      <c r="M6" s="4">
        <v>43165</v>
      </c>
      <c r="N6" s="5">
        <v>17</v>
      </c>
      <c r="O6" s="5" t="str">
        <f>"000642"</f>
        <v>000642</v>
      </c>
      <c r="P6" s="4">
        <v>43214</v>
      </c>
      <c r="Q6" s="7">
        <v>9.3492999999999995</v>
      </c>
      <c r="R6" s="7">
        <v>0.67635000000000001</v>
      </c>
      <c r="S6" s="7">
        <v>8.6729500000000002</v>
      </c>
      <c r="T6" s="5">
        <v>24</v>
      </c>
      <c r="U6" s="4">
        <v>43215</v>
      </c>
      <c r="V6" s="5">
        <v>9945568501</v>
      </c>
      <c r="W6" s="6" t="s">
        <v>62</v>
      </c>
      <c r="X6" s="5" t="s">
        <v>39</v>
      </c>
      <c r="Y6" s="6" t="s">
        <v>40</v>
      </c>
      <c r="Z6" s="5" t="s">
        <v>69</v>
      </c>
      <c r="AA6" s="6" t="s">
        <v>70</v>
      </c>
      <c r="AB6" s="7">
        <v>9.3492999999999993E-2</v>
      </c>
      <c r="AD6" s="8"/>
      <c r="AF6" s="8"/>
      <c r="AG6" s="8"/>
    </row>
    <row r="7" spans="1:33" x14ac:dyDescent="0.2">
      <c r="A7" s="12">
        <v>817</v>
      </c>
      <c r="B7" s="13" t="s">
        <v>37</v>
      </c>
      <c r="C7" s="13">
        <v>43225</v>
      </c>
      <c r="D7" s="5">
        <v>60</v>
      </c>
      <c r="E7" s="6" t="s">
        <v>73</v>
      </c>
      <c r="F7" s="5" t="s">
        <v>86</v>
      </c>
      <c r="G7" s="6" t="s">
        <v>87</v>
      </c>
      <c r="H7" s="5" t="str">
        <f>"0000.7"</f>
        <v>0000.7</v>
      </c>
      <c r="I7" s="4">
        <v>42719</v>
      </c>
      <c r="J7" s="5" t="str">
        <f>"000101"</f>
        <v>000101</v>
      </c>
      <c r="K7" s="4">
        <v>43150</v>
      </c>
      <c r="L7" s="5" t="str">
        <f>"000180"</f>
        <v>000180</v>
      </c>
      <c r="M7" s="4">
        <v>43152</v>
      </c>
      <c r="N7" s="5">
        <v>17</v>
      </c>
      <c r="O7" s="5" t="str">
        <f>"001005"</f>
        <v>001005</v>
      </c>
      <c r="P7" s="4">
        <v>43223</v>
      </c>
      <c r="Q7" s="7">
        <v>9.6699400000000004</v>
      </c>
      <c r="R7" s="7">
        <v>1.0164500000000001</v>
      </c>
      <c r="S7" s="7">
        <v>8.6534899999999997</v>
      </c>
      <c r="T7" s="5">
        <v>39</v>
      </c>
      <c r="U7" s="4">
        <v>43225</v>
      </c>
      <c r="V7" s="5">
        <v>9945568501</v>
      </c>
      <c r="W7" s="6" t="s">
        <v>88</v>
      </c>
      <c r="X7" s="5" t="s">
        <v>31</v>
      </c>
      <c r="Y7" s="6" t="s">
        <v>32</v>
      </c>
      <c r="Z7" s="5" t="s">
        <v>69</v>
      </c>
      <c r="AA7" s="6" t="s">
        <v>70</v>
      </c>
      <c r="AB7" s="7">
        <v>9.6699400000000005E-2</v>
      </c>
      <c r="AD7" s="8"/>
      <c r="AF7" s="8"/>
      <c r="AG7" s="8"/>
    </row>
    <row r="8" spans="1:33" x14ac:dyDescent="0.2">
      <c r="A8" s="12">
        <v>889</v>
      </c>
      <c r="B8" s="13" t="s">
        <v>37</v>
      </c>
      <c r="C8" s="13">
        <v>43228</v>
      </c>
      <c r="D8" s="5">
        <v>60</v>
      </c>
      <c r="E8" s="6" t="s">
        <v>73</v>
      </c>
      <c r="F8" s="5" t="s">
        <v>89</v>
      </c>
      <c r="G8" s="6" t="s">
        <v>90</v>
      </c>
      <c r="H8" s="5" t="str">
        <f>"000201"</f>
        <v>000201</v>
      </c>
      <c r="I8" s="4">
        <v>43116</v>
      </c>
      <c r="J8" s="5" t="str">
        <f>"000006"</f>
        <v>000006</v>
      </c>
      <c r="K8" s="4">
        <v>43209</v>
      </c>
      <c r="L8" s="5" t="str">
        <f>"000014"</f>
        <v>000014</v>
      </c>
      <c r="M8" s="4">
        <v>43209</v>
      </c>
      <c r="N8" s="5">
        <v>18</v>
      </c>
      <c r="O8" s="5" t="str">
        <f>"001060"</f>
        <v>001060</v>
      </c>
      <c r="P8" s="4">
        <v>43224</v>
      </c>
      <c r="Q8" s="7">
        <v>29.943200000000001</v>
      </c>
      <c r="R8" s="7">
        <v>2.5666000000000002</v>
      </c>
      <c r="S8" s="7">
        <v>27.3766</v>
      </c>
      <c r="T8" s="5">
        <v>42</v>
      </c>
      <c r="U8" s="4">
        <v>43228</v>
      </c>
      <c r="V8" s="5">
        <v>9945568501</v>
      </c>
      <c r="W8" s="6" t="s">
        <v>62</v>
      </c>
      <c r="X8" s="5" t="s">
        <v>76</v>
      </c>
      <c r="Y8" s="6" t="s">
        <v>77</v>
      </c>
      <c r="Z8" s="5" t="s">
        <v>69</v>
      </c>
      <c r="AA8" s="6" t="s">
        <v>70</v>
      </c>
      <c r="AB8" s="7">
        <v>0.29943200000000003</v>
      </c>
      <c r="AD8" s="8"/>
      <c r="AF8" s="8"/>
      <c r="AG8" s="8"/>
    </row>
    <row r="9" spans="1:33" x14ac:dyDescent="0.2">
      <c r="A9" s="12">
        <v>1117</v>
      </c>
      <c r="B9" s="13" t="s">
        <v>37</v>
      </c>
      <c r="C9" s="13">
        <v>43230</v>
      </c>
      <c r="D9" s="5">
        <v>60</v>
      </c>
      <c r="E9" s="6" t="s">
        <v>73</v>
      </c>
      <c r="F9" s="5" t="s">
        <v>91</v>
      </c>
      <c r="G9" s="6" t="s">
        <v>92</v>
      </c>
      <c r="H9" s="5" t="str">
        <f>"000075"</f>
        <v>000075</v>
      </c>
      <c r="I9" s="4">
        <v>42586</v>
      </c>
      <c r="J9" s="5" t="str">
        <f>"094"</f>
        <v>094</v>
      </c>
      <c r="K9" s="4">
        <v>16</v>
      </c>
      <c r="L9" s="5" t="str">
        <f>"271"</f>
        <v>271</v>
      </c>
      <c r="M9" s="4">
        <v>16</v>
      </c>
      <c r="N9" s="5">
        <v>16</v>
      </c>
      <c r="O9" s="5" t="str">
        <f>"001246"</f>
        <v>001246</v>
      </c>
      <c r="P9" s="4">
        <v>43228</v>
      </c>
      <c r="Q9" s="7">
        <v>6.6396800000000002</v>
      </c>
      <c r="R9" s="7">
        <v>0.88560000000000005</v>
      </c>
      <c r="S9" s="7">
        <v>5.7540800000000001</v>
      </c>
      <c r="T9" s="5">
        <v>48</v>
      </c>
      <c r="U9" s="4">
        <v>43230</v>
      </c>
      <c r="V9" s="5">
        <v>8904148945</v>
      </c>
      <c r="W9" s="6" t="s">
        <v>93</v>
      </c>
      <c r="X9" s="5" t="s">
        <v>50</v>
      </c>
      <c r="Y9" s="6" t="s">
        <v>49</v>
      </c>
      <c r="Z9" s="5" t="s">
        <v>65</v>
      </c>
      <c r="AA9" s="6" t="s">
        <v>66</v>
      </c>
      <c r="AB9" s="7">
        <v>6.6396800000000006E-2</v>
      </c>
      <c r="AD9" s="8"/>
      <c r="AF9" s="8"/>
      <c r="AG9" s="8"/>
    </row>
    <row r="10" spans="1:33" x14ac:dyDescent="0.2">
      <c r="A10" s="12">
        <v>1180</v>
      </c>
      <c r="B10" s="13" t="s">
        <v>37</v>
      </c>
      <c r="C10" s="13">
        <v>43238</v>
      </c>
      <c r="D10" s="5">
        <v>60</v>
      </c>
      <c r="E10" s="6" t="s">
        <v>73</v>
      </c>
      <c r="F10" s="5" t="s">
        <v>94</v>
      </c>
      <c r="G10" s="6" t="s">
        <v>95</v>
      </c>
      <c r="H10" s="5" t="str">
        <f>"000111"</f>
        <v>000111</v>
      </c>
      <c r="I10" s="4">
        <v>42537</v>
      </c>
      <c r="J10" s="5" t="str">
        <f>"000109"</f>
        <v>000109</v>
      </c>
      <c r="K10" s="4">
        <v>42613</v>
      </c>
      <c r="L10" s="5" t="str">
        <f>"000248"</f>
        <v>000248</v>
      </c>
      <c r="M10" s="4">
        <v>42613</v>
      </c>
      <c r="N10" s="5">
        <v>16</v>
      </c>
      <c r="O10" s="5" t="str">
        <f>"001483"</f>
        <v>001483</v>
      </c>
      <c r="P10" s="4">
        <v>43236</v>
      </c>
      <c r="Q10" s="7">
        <v>9.7337900000000008</v>
      </c>
      <c r="R10" s="7">
        <v>1.20787</v>
      </c>
      <c r="S10" s="7">
        <v>8.5259199999999993</v>
      </c>
      <c r="T10" s="5">
        <v>52</v>
      </c>
      <c r="U10" s="4">
        <v>43238</v>
      </c>
      <c r="V10" s="5">
        <v>9945568501</v>
      </c>
      <c r="W10" s="6" t="s">
        <v>55</v>
      </c>
      <c r="X10" s="5" t="s">
        <v>57</v>
      </c>
      <c r="Y10" s="6" t="s">
        <v>56</v>
      </c>
      <c r="Z10" s="5" t="s">
        <v>69</v>
      </c>
      <c r="AA10" s="6" t="s">
        <v>70</v>
      </c>
      <c r="AB10" s="7">
        <v>9.7337900000000005E-2</v>
      </c>
      <c r="AD10" s="8"/>
      <c r="AF10" s="8"/>
      <c r="AG10" s="8"/>
    </row>
    <row r="11" spans="1:33" x14ac:dyDescent="0.2">
      <c r="A11" s="12">
        <v>1181</v>
      </c>
      <c r="B11" s="13" t="s">
        <v>37</v>
      </c>
      <c r="C11" s="13">
        <v>43238</v>
      </c>
      <c r="D11" s="5">
        <v>60</v>
      </c>
      <c r="E11" s="6" t="s">
        <v>73</v>
      </c>
      <c r="F11" s="5" t="s">
        <v>96</v>
      </c>
      <c r="G11" s="6" t="s">
        <v>97</v>
      </c>
      <c r="H11" s="5" t="str">
        <f>"000112"</f>
        <v>000112</v>
      </c>
      <c r="I11" s="4">
        <v>42537</v>
      </c>
      <c r="J11" s="5" t="str">
        <f>"000108"</f>
        <v>000108</v>
      </c>
      <c r="K11" s="4">
        <v>42613</v>
      </c>
      <c r="L11" s="5" t="str">
        <f>"000249"</f>
        <v>000249</v>
      </c>
      <c r="M11" s="4">
        <v>42613</v>
      </c>
      <c r="N11" s="5">
        <v>16</v>
      </c>
      <c r="O11" s="5" t="str">
        <f>"001485"</f>
        <v>001485</v>
      </c>
      <c r="P11" s="4">
        <v>43236</v>
      </c>
      <c r="Q11" s="7">
        <v>10</v>
      </c>
      <c r="R11" s="7">
        <v>1.2133499999999999</v>
      </c>
      <c r="S11" s="7">
        <v>8.7866499999999998</v>
      </c>
      <c r="T11" s="5">
        <v>52</v>
      </c>
      <c r="U11" s="4">
        <v>43238</v>
      </c>
      <c r="V11" s="5">
        <v>9945568501</v>
      </c>
      <c r="W11" s="6" t="s">
        <v>55</v>
      </c>
      <c r="X11" s="5" t="s">
        <v>57</v>
      </c>
      <c r="Y11" s="6" t="s">
        <v>56</v>
      </c>
      <c r="Z11" s="5" t="s">
        <v>69</v>
      </c>
      <c r="AA11" s="6" t="s">
        <v>70</v>
      </c>
      <c r="AB11" s="7">
        <v>0.1</v>
      </c>
      <c r="AD11" s="8"/>
      <c r="AF11" s="8"/>
      <c r="AG11" s="8"/>
    </row>
    <row r="12" spans="1:33" x14ac:dyDescent="0.2">
      <c r="A12" s="12">
        <v>1426</v>
      </c>
      <c r="B12" s="13" t="s">
        <v>37</v>
      </c>
      <c r="C12" s="13">
        <v>43242</v>
      </c>
      <c r="D12" s="5">
        <v>60</v>
      </c>
      <c r="E12" s="6" t="s">
        <v>73</v>
      </c>
      <c r="F12" s="5" t="s">
        <v>98</v>
      </c>
      <c r="G12" s="6" t="s">
        <v>99</v>
      </c>
      <c r="H12" s="5" t="str">
        <f>"000200"</f>
        <v>000200</v>
      </c>
      <c r="I12" s="4">
        <v>43116</v>
      </c>
      <c r="J12" s="5" t="str">
        <f>"000007"</f>
        <v>000007</v>
      </c>
      <c r="K12" s="4">
        <v>43216</v>
      </c>
      <c r="L12" s="5" t="str">
        <f>"000015"</f>
        <v>000015</v>
      </c>
      <c r="M12" s="4">
        <v>43222</v>
      </c>
      <c r="N12" s="5">
        <v>18</v>
      </c>
      <c r="O12" s="5" t="str">
        <f>"001614"</f>
        <v>001614</v>
      </c>
      <c r="P12" s="4">
        <v>43239</v>
      </c>
      <c r="Q12" s="7">
        <v>29.903729999999999</v>
      </c>
      <c r="R12" s="7">
        <v>2.61693</v>
      </c>
      <c r="S12" s="7">
        <v>27.286799999999999</v>
      </c>
      <c r="T12" s="5">
        <v>61</v>
      </c>
      <c r="U12" s="4">
        <v>43242</v>
      </c>
      <c r="V12" s="5">
        <v>9945568501</v>
      </c>
      <c r="W12" s="6" t="s">
        <v>62</v>
      </c>
      <c r="X12" s="5" t="s">
        <v>76</v>
      </c>
      <c r="Y12" s="6" t="s">
        <v>77</v>
      </c>
      <c r="Z12" s="5" t="s">
        <v>69</v>
      </c>
      <c r="AA12" s="6" t="s">
        <v>70</v>
      </c>
      <c r="AB12" s="7">
        <v>0.29903730000000001</v>
      </c>
      <c r="AD12" s="8"/>
      <c r="AF12" s="8"/>
      <c r="AG12" s="8"/>
    </row>
    <row r="13" spans="1:33" x14ac:dyDescent="0.2">
      <c r="A13" s="12">
        <v>1512</v>
      </c>
      <c r="B13" s="13" t="s">
        <v>37</v>
      </c>
      <c r="C13" s="13">
        <v>43251</v>
      </c>
      <c r="D13" s="5">
        <v>60</v>
      </c>
      <c r="E13" s="6" t="s">
        <v>73</v>
      </c>
      <c r="F13" s="5" t="s">
        <v>100</v>
      </c>
      <c r="G13" s="6" t="s">
        <v>101</v>
      </c>
      <c r="H13" s="5" t="str">
        <f>"000041"</f>
        <v>000041</v>
      </c>
      <c r="I13" s="4">
        <v>42506</v>
      </c>
      <c r="J13" s="5" t="str">
        <f>"000091"</f>
        <v>000091</v>
      </c>
      <c r="K13" s="4">
        <v>42581</v>
      </c>
      <c r="L13" s="5" t="str">
        <f>"000190"</f>
        <v>000190</v>
      </c>
      <c r="M13" s="4">
        <v>42581</v>
      </c>
      <c r="N13" s="5">
        <v>16</v>
      </c>
      <c r="O13" s="5" t="str">
        <f>"001947"</f>
        <v>001947</v>
      </c>
      <c r="P13" s="4">
        <v>43246</v>
      </c>
      <c r="Q13" s="7">
        <v>4.9785700000000004</v>
      </c>
      <c r="R13" s="7">
        <v>0.33456000000000002</v>
      </c>
      <c r="S13" s="7">
        <v>4.6440099999999997</v>
      </c>
      <c r="T13" s="5">
        <v>67</v>
      </c>
      <c r="U13" s="4">
        <v>43251</v>
      </c>
      <c r="V13" s="5">
        <v>9945568501</v>
      </c>
      <c r="W13" s="6" t="s">
        <v>102</v>
      </c>
      <c r="X13" s="5" t="s">
        <v>31</v>
      </c>
      <c r="Y13" s="6" t="s">
        <v>32</v>
      </c>
      <c r="Z13" s="5" t="s">
        <v>69</v>
      </c>
      <c r="AA13" s="6" t="s">
        <v>70</v>
      </c>
      <c r="AB13" s="7">
        <v>4.9785700000000002E-2</v>
      </c>
      <c r="AD13" s="8"/>
      <c r="AF13" s="8"/>
      <c r="AG13" s="8"/>
    </row>
    <row r="14" spans="1:33" x14ac:dyDescent="0.2">
      <c r="A14" s="12">
        <v>1783</v>
      </c>
      <c r="B14" s="13" t="s">
        <v>36</v>
      </c>
      <c r="C14" s="13">
        <v>43257</v>
      </c>
      <c r="D14" s="5">
        <v>60</v>
      </c>
      <c r="E14" s="6" t="s">
        <v>73</v>
      </c>
      <c r="F14" s="5" t="s">
        <v>103</v>
      </c>
      <c r="G14" s="6" t="s">
        <v>104</v>
      </c>
      <c r="H14" s="5" t="str">
        <f>"000249"</f>
        <v>000249</v>
      </c>
      <c r="I14" s="4">
        <v>43185</v>
      </c>
      <c r="J14" s="5" t="str">
        <f>"000010"</f>
        <v>000010</v>
      </c>
      <c r="K14" s="4">
        <v>43225</v>
      </c>
      <c r="L14" s="5" t="str">
        <f>"000018"</f>
        <v>000018</v>
      </c>
      <c r="M14" s="4">
        <v>43225</v>
      </c>
      <c r="N14" s="5">
        <v>18</v>
      </c>
      <c r="O14" s="5" t="str">
        <f>"001851"</f>
        <v>001851</v>
      </c>
      <c r="P14" s="4">
        <v>43244</v>
      </c>
      <c r="Q14" s="7">
        <v>89.883139999999997</v>
      </c>
      <c r="R14" s="7">
        <v>10.306800000000001</v>
      </c>
      <c r="S14" s="7">
        <v>79.576340000000002</v>
      </c>
      <c r="T14" s="5">
        <v>70</v>
      </c>
      <c r="U14" s="4">
        <v>43257</v>
      </c>
      <c r="V14" s="5">
        <v>9900980808</v>
      </c>
      <c r="W14" s="6" t="s">
        <v>62</v>
      </c>
      <c r="X14" s="5" t="s">
        <v>28</v>
      </c>
      <c r="Y14" s="6" t="s">
        <v>29</v>
      </c>
      <c r="Z14" s="5" t="s">
        <v>69</v>
      </c>
      <c r="AA14" s="6" t="s">
        <v>70</v>
      </c>
      <c r="AB14" s="7">
        <v>0.89883139999999995</v>
      </c>
      <c r="AD14" s="8"/>
      <c r="AF14" s="8"/>
      <c r="AG14" s="8"/>
    </row>
    <row r="15" spans="1:33" x14ac:dyDescent="0.2">
      <c r="A15" s="12">
        <v>1784</v>
      </c>
      <c r="B15" s="13" t="s">
        <v>36</v>
      </c>
      <c r="C15" s="13">
        <v>43257</v>
      </c>
      <c r="D15" s="5">
        <v>60</v>
      </c>
      <c r="E15" s="6" t="s">
        <v>73</v>
      </c>
      <c r="F15" s="5" t="s">
        <v>105</v>
      </c>
      <c r="G15" s="6" t="s">
        <v>106</v>
      </c>
      <c r="H15" s="5" t="str">
        <f>"000247"</f>
        <v>000247</v>
      </c>
      <c r="I15" s="4">
        <v>43185</v>
      </c>
      <c r="J15" s="5" t="str">
        <f>"000009"</f>
        <v>000009</v>
      </c>
      <c r="K15" s="4">
        <v>43225</v>
      </c>
      <c r="L15" s="5" t="str">
        <f>"000017"</f>
        <v>000017</v>
      </c>
      <c r="M15" s="4">
        <v>43225</v>
      </c>
      <c r="N15" s="5">
        <v>18</v>
      </c>
      <c r="O15" s="5" t="str">
        <f>"001852"</f>
        <v>001852</v>
      </c>
      <c r="P15" s="4">
        <v>43244</v>
      </c>
      <c r="Q15" s="7">
        <v>94.601770000000002</v>
      </c>
      <c r="R15" s="7">
        <v>9.7815600000000007</v>
      </c>
      <c r="S15" s="7">
        <v>84.820210000000003</v>
      </c>
      <c r="T15" s="5">
        <v>70</v>
      </c>
      <c r="U15" s="4">
        <v>43257</v>
      </c>
      <c r="V15" s="5">
        <v>9900980808</v>
      </c>
      <c r="W15" s="6" t="s">
        <v>62</v>
      </c>
      <c r="X15" s="5" t="s">
        <v>28</v>
      </c>
      <c r="Y15" s="6" t="s">
        <v>29</v>
      </c>
      <c r="Z15" s="5" t="s">
        <v>69</v>
      </c>
      <c r="AA15" s="6" t="s">
        <v>70</v>
      </c>
      <c r="AB15" s="7">
        <v>0.94601770000000007</v>
      </c>
      <c r="AD15" s="8"/>
      <c r="AF15" s="8"/>
      <c r="AG15" s="8"/>
    </row>
    <row r="16" spans="1:33" x14ac:dyDescent="0.2">
      <c r="A16" s="12">
        <v>2005</v>
      </c>
      <c r="B16" s="13" t="s">
        <v>36</v>
      </c>
      <c r="C16" s="13">
        <v>43262</v>
      </c>
      <c r="D16" s="5">
        <v>60</v>
      </c>
      <c r="E16" s="6" t="s">
        <v>73</v>
      </c>
      <c r="F16" s="5" t="s">
        <v>107</v>
      </c>
      <c r="G16" s="6" t="s">
        <v>108</v>
      </c>
      <c r="H16" s="5" t="str">
        <f>"000064"</f>
        <v>000064</v>
      </c>
      <c r="I16" s="4">
        <v>42898</v>
      </c>
      <c r="J16" s="5" t="str">
        <f>"000109"</f>
        <v>000109</v>
      </c>
      <c r="K16" s="4">
        <v>42915</v>
      </c>
      <c r="L16" s="5" t="str">
        <f>"000180"</f>
        <v>000180</v>
      </c>
      <c r="M16" s="4">
        <v>42916</v>
      </c>
      <c r="N16" s="5">
        <v>17</v>
      </c>
      <c r="O16" s="5" t="str">
        <f>"002335"</f>
        <v>002335</v>
      </c>
      <c r="P16" s="4">
        <v>43262</v>
      </c>
      <c r="Q16" s="7">
        <v>14.989179999999999</v>
      </c>
      <c r="R16" s="7">
        <v>2.00122</v>
      </c>
      <c r="S16" s="7">
        <v>12.987959999999999</v>
      </c>
      <c r="T16" s="5">
        <v>79</v>
      </c>
      <c r="U16" s="4">
        <v>43262</v>
      </c>
      <c r="V16" s="5">
        <v>8553418882</v>
      </c>
      <c r="W16" s="6" t="s">
        <v>62</v>
      </c>
      <c r="X16" s="5" t="s">
        <v>54</v>
      </c>
      <c r="Y16" s="6" t="s">
        <v>53</v>
      </c>
      <c r="Z16" s="5" t="s">
        <v>69</v>
      </c>
      <c r="AA16" s="6" t="s">
        <v>70</v>
      </c>
      <c r="AB16" s="7">
        <v>0.14989179999999999</v>
      </c>
      <c r="AD16" s="8"/>
      <c r="AF16" s="8"/>
      <c r="AG16" s="8"/>
    </row>
    <row r="17" spans="1:33" x14ac:dyDescent="0.2">
      <c r="A17" s="12">
        <v>2142</v>
      </c>
      <c r="B17" s="13" t="s">
        <v>36</v>
      </c>
      <c r="C17" s="13">
        <v>43265</v>
      </c>
      <c r="D17" s="5">
        <v>60</v>
      </c>
      <c r="E17" s="6" t="s">
        <v>73</v>
      </c>
      <c r="F17" s="5" t="s">
        <v>109</v>
      </c>
      <c r="G17" s="6" t="s">
        <v>110</v>
      </c>
      <c r="H17" s="5" t="str">
        <f>"000155"</f>
        <v>000155</v>
      </c>
      <c r="I17" s="4">
        <v>43074</v>
      </c>
      <c r="J17" s="5" t="str">
        <f>"000018"</f>
        <v>000018</v>
      </c>
      <c r="K17" s="4">
        <v>43241</v>
      </c>
      <c r="L17" s="5" t="str">
        <f>"000030"</f>
        <v>000030</v>
      </c>
      <c r="M17" s="4">
        <v>43242</v>
      </c>
      <c r="N17" s="5">
        <v>17</v>
      </c>
      <c r="O17" s="5" t="str">
        <f>"002435"</f>
        <v>002435</v>
      </c>
      <c r="P17" s="4">
        <v>43263</v>
      </c>
      <c r="Q17" s="7">
        <v>27.52045</v>
      </c>
      <c r="R17" s="7">
        <v>0.95821000000000001</v>
      </c>
      <c r="S17" s="7">
        <v>26.562239999999999</v>
      </c>
      <c r="T17" s="5">
        <v>84</v>
      </c>
      <c r="U17" s="4">
        <v>43265</v>
      </c>
      <c r="V17" s="5">
        <v>9945568501</v>
      </c>
      <c r="W17" s="6" t="s">
        <v>62</v>
      </c>
      <c r="X17" s="5" t="s">
        <v>39</v>
      </c>
      <c r="Y17" s="6" t="s">
        <v>40</v>
      </c>
      <c r="Z17" s="5" t="s">
        <v>69</v>
      </c>
      <c r="AA17" s="6" t="s">
        <v>70</v>
      </c>
      <c r="AB17" s="7">
        <v>0.27520450000000002</v>
      </c>
      <c r="AD17" s="8"/>
      <c r="AF17" s="8"/>
      <c r="AG17" s="8"/>
    </row>
    <row r="18" spans="1:33" x14ac:dyDescent="0.2">
      <c r="A18" s="12">
        <v>2170</v>
      </c>
      <c r="B18" s="13" t="s">
        <v>36</v>
      </c>
      <c r="C18" s="13">
        <v>43266</v>
      </c>
      <c r="D18" s="5">
        <v>60</v>
      </c>
      <c r="E18" s="6" t="s">
        <v>73</v>
      </c>
      <c r="F18" s="5" t="s">
        <v>111</v>
      </c>
      <c r="G18" s="6" t="s">
        <v>112</v>
      </c>
      <c r="H18" s="5" t="str">
        <f>"000192"</f>
        <v>000192</v>
      </c>
      <c r="I18" s="4">
        <v>43112</v>
      </c>
      <c r="J18" s="5" t="str">
        <f>"000014"</f>
        <v>000014</v>
      </c>
      <c r="K18" s="4">
        <v>43228</v>
      </c>
      <c r="L18" s="5" t="str">
        <f>"000021"</f>
        <v>000021</v>
      </c>
      <c r="M18" s="4">
        <v>43231</v>
      </c>
      <c r="N18" s="5">
        <v>18</v>
      </c>
      <c r="O18" s="5" t="str">
        <f>"002209"</f>
        <v>002209</v>
      </c>
      <c r="P18" s="4">
        <v>43257</v>
      </c>
      <c r="Q18" s="7">
        <v>19.899619999999999</v>
      </c>
      <c r="R18" s="7">
        <v>1.9487000000000001</v>
      </c>
      <c r="S18" s="7">
        <v>17.95092</v>
      </c>
      <c r="T18" s="5">
        <v>87</v>
      </c>
      <c r="U18" s="4">
        <v>43266</v>
      </c>
      <c r="V18" s="5">
        <v>9945568501</v>
      </c>
      <c r="W18" s="6" t="s">
        <v>62</v>
      </c>
      <c r="X18" s="5" t="s">
        <v>76</v>
      </c>
      <c r="Y18" s="6" t="s">
        <v>77</v>
      </c>
      <c r="Z18" s="5" t="s">
        <v>69</v>
      </c>
      <c r="AA18" s="6" t="s">
        <v>70</v>
      </c>
      <c r="AB18" s="7">
        <v>0.19899619999999998</v>
      </c>
      <c r="AD18" s="8"/>
      <c r="AF18" s="8"/>
      <c r="AG18" s="8"/>
    </row>
    <row r="19" spans="1:33" x14ac:dyDescent="0.2">
      <c r="A19" s="12">
        <v>2171</v>
      </c>
      <c r="B19" s="13" t="s">
        <v>36</v>
      </c>
      <c r="C19" s="13">
        <v>43266</v>
      </c>
      <c r="D19" s="5">
        <v>60</v>
      </c>
      <c r="E19" s="6" t="s">
        <v>73</v>
      </c>
      <c r="F19" s="5" t="s">
        <v>113</v>
      </c>
      <c r="G19" s="6" t="s">
        <v>114</v>
      </c>
      <c r="H19" s="5" t="str">
        <f>"000193"</f>
        <v>000193</v>
      </c>
      <c r="I19" s="4">
        <v>43112</v>
      </c>
      <c r="J19" s="5" t="str">
        <f>"000013"</f>
        <v>000013</v>
      </c>
      <c r="K19" s="4">
        <v>43228</v>
      </c>
      <c r="L19" s="5" t="str">
        <f>"000022"</f>
        <v>000022</v>
      </c>
      <c r="M19" s="4">
        <v>43231</v>
      </c>
      <c r="N19" s="5">
        <v>18</v>
      </c>
      <c r="O19" s="5" t="str">
        <f>"002210"</f>
        <v>002210</v>
      </c>
      <c r="P19" s="4">
        <v>43257</v>
      </c>
      <c r="Q19" s="7">
        <v>19.91075</v>
      </c>
      <c r="R19" s="7">
        <v>1.9835</v>
      </c>
      <c r="S19" s="7">
        <v>17.927250000000001</v>
      </c>
      <c r="T19" s="5">
        <v>87</v>
      </c>
      <c r="U19" s="4">
        <v>43266</v>
      </c>
      <c r="V19" s="5">
        <v>9945568501</v>
      </c>
      <c r="W19" s="6" t="s">
        <v>62</v>
      </c>
      <c r="X19" s="5" t="s">
        <v>76</v>
      </c>
      <c r="Y19" s="6" t="s">
        <v>77</v>
      </c>
      <c r="Z19" s="5" t="s">
        <v>69</v>
      </c>
      <c r="AA19" s="6" t="s">
        <v>70</v>
      </c>
      <c r="AB19" s="7">
        <v>0.19910749999999999</v>
      </c>
      <c r="AD19" s="8"/>
      <c r="AF19" s="8"/>
      <c r="AG19" s="8"/>
    </row>
    <row r="20" spans="1:33" x14ac:dyDescent="0.2">
      <c r="A20" s="12">
        <v>2263</v>
      </c>
      <c r="B20" s="13" t="s">
        <v>36</v>
      </c>
      <c r="C20" s="13">
        <v>43269</v>
      </c>
      <c r="D20" s="5">
        <v>60</v>
      </c>
      <c r="E20" s="6" t="s">
        <v>73</v>
      </c>
      <c r="F20" s="5" t="s">
        <v>115</v>
      </c>
      <c r="G20" s="6" t="s">
        <v>116</v>
      </c>
      <c r="H20" s="5" t="str">
        <f>"000196"</f>
        <v>000196</v>
      </c>
      <c r="I20" s="4">
        <v>43116</v>
      </c>
      <c r="J20" s="5" t="str">
        <f>"000016"</f>
        <v>000016</v>
      </c>
      <c r="K20" s="4">
        <v>43236</v>
      </c>
      <c r="L20" s="5" t="str">
        <f>"000024"</f>
        <v>000024</v>
      </c>
      <c r="M20" s="4">
        <v>43238</v>
      </c>
      <c r="N20" s="5">
        <v>18</v>
      </c>
      <c r="O20" s="5" t="str">
        <f>"002215"</f>
        <v>002215</v>
      </c>
      <c r="P20" s="4">
        <v>43257</v>
      </c>
      <c r="Q20" s="7">
        <v>19.885120000000001</v>
      </c>
      <c r="R20" s="7">
        <v>1.9675</v>
      </c>
      <c r="S20" s="7">
        <v>17.917619999999999</v>
      </c>
      <c r="T20" s="5">
        <v>93</v>
      </c>
      <c r="U20" s="4">
        <v>43269</v>
      </c>
      <c r="V20" s="5">
        <v>9945568501</v>
      </c>
      <c r="W20" s="6" t="s">
        <v>62</v>
      </c>
      <c r="X20" s="5" t="s">
        <v>52</v>
      </c>
      <c r="Y20" s="6" t="s">
        <v>51</v>
      </c>
      <c r="Z20" s="5" t="s">
        <v>69</v>
      </c>
      <c r="AA20" s="6" t="s">
        <v>70</v>
      </c>
      <c r="AB20" s="7">
        <v>0.19885120000000001</v>
      </c>
      <c r="AD20" s="8"/>
      <c r="AF20" s="8"/>
      <c r="AG20" s="8"/>
    </row>
    <row r="21" spans="1:33" x14ac:dyDescent="0.2">
      <c r="A21" s="12">
        <v>2264</v>
      </c>
      <c r="B21" s="13" t="s">
        <v>36</v>
      </c>
      <c r="C21" s="13">
        <v>43269</v>
      </c>
      <c r="D21" s="5">
        <v>60</v>
      </c>
      <c r="E21" s="6" t="s">
        <v>73</v>
      </c>
      <c r="F21" s="5" t="s">
        <v>117</v>
      </c>
      <c r="G21" s="6" t="s">
        <v>118</v>
      </c>
      <c r="H21" s="5" t="str">
        <f>"000214"</f>
        <v>000214</v>
      </c>
      <c r="I21" s="4">
        <v>43139</v>
      </c>
      <c r="J21" s="5" t="str">
        <f>"000015"</f>
        <v>000015</v>
      </c>
      <c r="K21" s="4">
        <v>43228</v>
      </c>
      <c r="L21" s="5" t="str">
        <f>"000023"</f>
        <v>000023</v>
      </c>
      <c r="M21" s="4">
        <v>43231</v>
      </c>
      <c r="N21" s="5">
        <v>18</v>
      </c>
      <c r="O21" s="5" t="str">
        <f>"002223"</f>
        <v>002223</v>
      </c>
      <c r="P21" s="4">
        <v>43257</v>
      </c>
      <c r="Q21" s="7">
        <v>14.9253</v>
      </c>
      <c r="R21" s="7">
        <v>1.30172</v>
      </c>
      <c r="S21" s="7">
        <v>13.62358</v>
      </c>
      <c r="T21" s="5">
        <v>93</v>
      </c>
      <c r="U21" s="4">
        <v>43269</v>
      </c>
      <c r="V21" s="5">
        <v>9945568501</v>
      </c>
      <c r="W21" s="6" t="s">
        <v>62</v>
      </c>
      <c r="X21" s="5" t="s">
        <v>52</v>
      </c>
      <c r="Y21" s="6" t="s">
        <v>51</v>
      </c>
      <c r="Z21" s="5" t="s">
        <v>69</v>
      </c>
      <c r="AA21" s="6" t="s">
        <v>70</v>
      </c>
      <c r="AB21" s="7">
        <v>0.149253</v>
      </c>
      <c r="AD21" s="8"/>
      <c r="AF21" s="8"/>
      <c r="AG21" s="8"/>
    </row>
    <row r="22" spans="1:33" x14ac:dyDescent="0.2">
      <c r="A22" s="12">
        <v>2643</v>
      </c>
      <c r="B22" s="13" t="s">
        <v>36</v>
      </c>
      <c r="C22" s="13">
        <v>43276</v>
      </c>
      <c r="D22" s="5">
        <v>60</v>
      </c>
      <c r="E22" s="6" t="s">
        <v>73</v>
      </c>
      <c r="F22" s="5" t="s">
        <v>119</v>
      </c>
      <c r="G22" s="6" t="s">
        <v>120</v>
      </c>
      <c r="H22" s="5" t="str">
        <f>"000234"</f>
        <v>000234</v>
      </c>
      <c r="I22" s="4">
        <v>43173</v>
      </c>
      <c r="J22" s="5" t="str">
        <f>"000019"</f>
        <v>000019</v>
      </c>
      <c r="K22" s="4">
        <v>43241</v>
      </c>
      <c r="L22" s="5" t="str">
        <f>"000029"</f>
        <v>000029</v>
      </c>
      <c r="M22" s="4">
        <v>43242</v>
      </c>
      <c r="N22" s="5">
        <v>18</v>
      </c>
      <c r="O22" s="5" t="str">
        <f>"002659"</f>
        <v>002659</v>
      </c>
      <c r="P22" s="4">
        <v>43269</v>
      </c>
      <c r="Q22" s="7">
        <v>40.329259999999998</v>
      </c>
      <c r="R22" s="7">
        <v>5.37392</v>
      </c>
      <c r="S22" s="7">
        <v>34.95534</v>
      </c>
      <c r="T22" s="5">
        <v>100</v>
      </c>
      <c r="U22" s="4">
        <v>43276</v>
      </c>
      <c r="V22" s="5">
        <v>9945568501</v>
      </c>
      <c r="W22" s="6" t="s">
        <v>62</v>
      </c>
      <c r="X22" s="5" t="s">
        <v>76</v>
      </c>
      <c r="Y22" s="6" t="s">
        <v>77</v>
      </c>
      <c r="Z22" s="5" t="s">
        <v>69</v>
      </c>
      <c r="AA22" s="6" t="s">
        <v>70</v>
      </c>
      <c r="AB22" s="7">
        <v>0.4032926</v>
      </c>
      <c r="AD22" s="8"/>
      <c r="AF22" s="8"/>
      <c r="AG22" s="8"/>
    </row>
    <row r="23" spans="1:33" x14ac:dyDescent="0.2">
      <c r="A23" s="12">
        <v>2988</v>
      </c>
      <c r="B23" s="13" t="s">
        <v>33</v>
      </c>
      <c r="C23" s="13">
        <v>43284</v>
      </c>
      <c r="D23" s="5">
        <v>60</v>
      </c>
      <c r="E23" s="6" t="s">
        <v>73</v>
      </c>
      <c r="F23" s="5" t="s">
        <v>121</v>
      </c>
      <c r="G23" s="6" t="s">
        <v>122</v>
      </c>
      <c r="H23" s="5" t="str">
        <f>"000194"</f>
        <v>000194</v>
      </c>
      <c r="I23" s="4">
        <v>43112</v>
      </c>
      <c r="J23" s="5" t="str">
        <f>"000027"</f>
        <v>000027</v>
      </c>
      <c r="K23" s="4">
        <v>43253</v>
      </c>
      <c r="L23" s="5" t="str">
        <f>"000042"</f>
        <v>000042</v>
      </c>
      <c r="M23" s="4">
        <v>43255</v>
      </c>
      <c r="N23" s="5">
        <v>18</v>
      </c>
      <c r="O23" s="5" t="str">
        <f>"002813"</f>
        <v>002813</v>
      </c>
      <c r="P23" s="4">
        <v>43271</v>
      </c>
      <c r="Q23" s="7">
        <v>19.85389</v>
      </c>
      <c r="R23" s="7">
        <v>1.99491</v>
      </c>
      <c r="S23" s="7">
        <v>17.858979999999999</v>
      </c>
      <c r="T23" s="5">
        <v>110</v>
      </c>
      <c r="U23" s="4">
        <v>43284</v>
      </c>
      <c r="V23" s="5">
        <v>9945568501</v>
      </c>
      <c r="W23" s="6" t="s">
        <v>62</v>
      </c>
      <c r="X23" s="5" t="s">
        <v>76</v>
      </c>
      <c r="Y23" s="6" t="s">
        <v>77</v>
      </c>
      <c r="Z23" s="5" t="s">
        <v>69</v>
      </c>
      <c r="AA23" s="6" t="s">
        <v>70</v>
      </c>
      <c r="AB23" s="7">
        <v>0.19853889999999999</v>
      </c>
      <c r="AD23" s="8"/>
      <c r="AF23" s="8"/>
      <c r="AG23" s="8"/>
    </row>
    <row r="24" spans="1:33" x14ac:dyDescent="0.2">
      <c r="A24" s="12">
        <v>2989</v>
      </c>
      <c r="B24" s="13" t="s">
        <v>33</v>
      </c>
      <c r="C24" s="13">
        <v>43284</v>
      </c>
      <c r="D24" s="5">
        <v>60</v>
      </c>
      <c r="E24" s="6" t="s">
        <v>73</v>
      </c>
      <c r="F24" s="5" t="s">
        <v>123</v>
      </c>
      <c r="G24" s="6" t="s">
        <v>124</v>
      </c>
      <c r="H24" s="5" t="str">
        <f>"000190"</f>
        <v>000190</v>
      </c>
      <c r="I24" s="4">
        <v>43112</v>
      </c>
      <c r="J24" s="5" t="str">
        <f>"000026"</f>
        <v>000026</v>
      </c>
      <c r="K24" s="4">
        <v>43253</v>
      </c>
      <c r="L24" s="5" t="str">
        <f>"000041"</f>
        <v>000041</v>
      </c>
      <c r="M24" s="4">
        <v>43255</v>
      </c>
      <c r="N24" s="5">
        <v>18</v>
      </c>
      <c r="O24" s="5" t="str">
        <f>"002814"</f>
        <v>002814</v>
      </c>
      <c r="P24" s="4">
        <v>43271</v>
      </c>
      <c r="Q24" s="7">
        <v>19.883189999999999</v>
      </c>
      <c r="R24" s="7">
        <v>1.9379999999999999</v>
      </c>
      <c r="S24" s="7">
        <v>17.94519</v>
      </c>
      <c r="T24" s="5">
        <v>110</v>
      </c>
      <c r="U24" s="4">
        <v>43284</v>
      </c>
      <c r="V24" s="5">
        <v>9945568501</v>
      </c>
      <c r="W24" s="6" t="s">
        <v>62</v>
      </c>
      <c r="X24" s="5" t="s">
        <v>76</v>
      </c>
      <c r="Y24" s="6" t="s">
        <v>77</v>
      </c>
      <c r="Z24" s="5" t="s">
        <v>69</v>
      </c>
      <c r="AA24" s="6" t="s">
        <v>70</v>
      </c>
      <c r="AB24" s="7">
        <v>0.19883189999999998</v>
      </c>
      <c r="AD24" s="8"/>
      <c r="AF24" s="8"/>
      <c r="AG24" s="8"/>
    </row>
    <row r="25" spans="1:33" x14ac:dyDescent="0.2">
      <c r="A25" s="12">
        <v>3154</v>
      </c>
      <c r="B25" s="13" t="s">
        <v>33</v>
      </c>
      <c r="C25" s="13">
        <v>43290</v>
      </c>
      <c r="D25" s="5">
        <v>60</v>
      </c>
      <c r="E25" s="6" t="s">
        <v>73</v>
      </c>
      <c r="F25" s="5" t="s">
        <v>125</v>
      </c>
      <c r="G25" s="6" t="s">
        <v>126</v>
      </c>
      <c r="H25" s="5" t="str">
        <f>"000055"</f>
        <v>000055</v>
      </c>
      <c r="I25" s="4">
        <v>42566</v>
      </c>
      <c r="J25" s="5" t="str">
        <f>"081"</f>
        <v>081</v>
      </c>
      <c r="K25" s="4">
        <v>16</v>
      </c>
      <c r="L25" s="5" t="str">
        <f>"248"</f>
        <v>248</v>
      </c>
      <c r="M25" s="4">
        <v>16</v>
      </c>
      <c r="N25" s="5">
        <v>16</v>
      </c>
      <c r="O25" s="5" t="str">
        <f>"003403"</f>
        <v>003403</v>
      </c>
      <c r="P25" s="4">
        <v>43288</v>
      </c>
      <c r="Q25" s="7">
        <v>13.362500000000001</v>
      </c>
      <c r="R25" s="7">
        <v>1.7524</v>
      </c>
      <c r="S25" s="7">
        <v>11.610099999999999</v>
      </c>
      <c r="T25" s="5">
        <v>117</v>
      </c>
      <c r="U25" s="4">
        <v>43290</v>
      </c>
      <c r="V25" s="5">
        <v>9901801661</v>
      </c>
      <c r="W25" s="6" t="s">
        <v>127</v>
      </c>
      <c r="X25" s="5" t="s">
        <v>71</v>
      </c>
      <c r="Y25" s="6" t="s">
        <v>72</v>
      </c>
      <c r="Z25" s="5" t="s">
        <v>65</v>
      </c>
      <c r="AA25" s="6" t="s">
        <v>66</v>
      </c>
      <c r="AB25" s="7">
        <v>0.13362499999999999</v>
      </c>
      <c r="AD25" s="8"/>
      <c r="AF25" s="8"/>
      <c r="AG25" s="8"/>
    </row>
    <row r="26" spans="1:33" x14ac:dyDescent="0.2">
      <c r="A26" s="12">
        <v>3374</v>
      </c>
      <c r="B26" s="13" t="s">
        <v>33</v>
      </c>
      <c r="C26" s="13">
        <v>43298</v>
      </c>
      <c r="D26" s="5">
        <v>60</v>
      </c>
      <c r="E26" s="6" t="s">
        <v>73</v>
      </c>
      <c r="F26" s="5" t="s">
        <v>128</v>
      </c>
      <c r="G26" s="6" t="s">
        <v>129</v>
      </c>
      <c r="H26" s="5" t="str">
        <f>"000101"</f>
        <v>000101</v>
      </c>
      <c r="I26" s="4">
        <v>43119</v>
      </c>
      <c r="J26" s="5" t="str">
        <f>"000061"</f>
        <v>000061</v>
      </c>
      <c r="K26" s="4">
        <v>43276</v>
      </c>
      <c r="L26" s="5" t="str">
        <f>"000061"</f>
        <v>000061</v>
      </c>
      <c r="M26" s="4">
        <v>43276</v>
      </c>
      <c r="N26" s="5">
        <v>18</v>
      </c>
      <c r="O26" s="5" t="str">
        <f>"003443"</f>
        <v>003443</v>
      </c>
      <c r="P26" s="4">
        <v>43288</v>
      </c>
      <c r="Q26" s="7">
        <v>12.42332</v>
      </c>
      <c r="R26" s="7">
        <v>1.5662799999999999</v>
      </c>
      <c r="S26" s="7">
        <v>10.85704</v>
      </c>
      <c r="T26" s="5">
        <v>126</v>
      </c>
      <c r="U26" s="4">
        <v>43298</v>
      </c>
      <c r="V26" s="5">
        <v>9945525730</v>
      </c>
      <c r="W26" s="6" t="s">
        <v>58</v>
      </c>
      <c r="X26" s="5" t="s">
        <v>52</v>
      </c>
      <c r="Y26" s="6" t="s">
        <v>51</v>
      </c>
      <c r="Z26" s="5" t="s">
        <v>65</v>
      </c>
      <c r="AA26" s="6" t="s">
        <v>66</v>
      </c>
      <c r="AB26" s="7">
        <v>0.1242332</v>
      </c>
      <c r="AD26" s="8"/>
      <c r="AF26" s="8"/>
      <c r="AG26" s="8"/>
    </row>
    <row r="27" spans="1:33" x14ac:dyDescent="0.2">
      <c r="A27" s="12">
        <v>3486</v>
      </c>
      <c r="B27" s="13" t="s">
        <v>33</v>
      </c>
      <c r="C27" s="13">
        <v>43299</v>
      </c>
      <c r="D27" s="5">
        <v>60</v>
      </c>
      <c r="E27" s="6" t="s">
        <v>73</v>
      </c>
      <c r="F27" s="5" t="s">
        <v>130</v>
      </c>
      <c r="G27" s="6" t="s">
        <v>131</v>
      </c>
      <c r="H27" s="5" t="str">
        <f>"000012"</f>
        <v>000012</v>
      </c>
      <c r="I27" s="4">
        <v>42947</v>
      </c>
      <c r="J27" s="5" t="str">
        <f>"000196"</f>
        <v>000196</v>
      </c>
      <c r="K27" s="4">
        <v>43159</v>
      </c>
      <c r="L27" s="5" t="str">
        <f>"000187"</f>
        <v>000187</v>
      </c>
      <c r="M27" s="4">
        <v>43159</v>
      </c>
      <c r="N27" s="5">
        <v>16</v>
      </c>
      <c r="O27" s="5" t="str">
        <f>"003972"</f>
        <v>003972</v>
      </c>
      <c r="P27" s="4">
        <v>43299</v>
      </c>
      <c r="Q27" s="7">
        <v>8.6118199999999998</v>
      </c>
      <c r="R27" s="7">
        <v>0.61214999999999997</v>
      </c>
      <c r="S27" s="7">
        <v>7.9996700000000001</v>
      </c>
      <c r="T27" s="5">
        <v>127</v>
      </c>
      <c r="U27" s="4">
        <v>43299</v>
      </c>
      <c r="V27" s="5">
        <v>9845860866</v>
      </c>
      <c r="W27" s="6" t="s">
        <v>132</v>
      </c>
      <c r="X27" s="5" t="s">
        <v>34</v>
      </c>
      <c r="Y27" s="6" t="s">
        <v>35</v>
      </c>
      <c r="Z27" s="5" t="s">
        <v>65</v>
      </c>
      <c r="AA27" s="6" t="s">
        <v>66</v>
      </c>
      <c r="AB27" s="7">
        <v>8.6118199999999992E-2</v>
      </c>
      <c r="AD27" s="8"/>
      <c r="AF27" s="8"/>
      <c r="AG27" s="8"/>
    </row>
    <row r="28" spans="1:33" x14ac:dyDescent="0.2">
      <c r="A28" s="12">
        <v>3670</v>
      </c>
      <c r="B28" s="13" t="s">
        <v>33</v>
      </c>
      <c r="C28" s="13">
        <v>43300</v>
      </c>
      <c r="D28" s="5">
        <v>60</v>
      </c>
      <c r="E28" s="6" t="s">
        <v>73</v>
      </c>
      <c r="F28" s="5" t="s">
        <v>133</v>
      </c>
      <c r="G28" s="6" t="s">
        <v>134</v>
      </c>
      <c r="H28" s="5" t="str">
        <f>"000180"</f>
        <v>000180</v>
      </c>
      <c r="I28" s="4">
        <v>43108</v>
      </c>
      <c r="J28" s="5" t="str">
        <f>"000039"</f>
        <v>000039</v>
      </c>
      <c r="K28" s="4">
        <v>43277</v>
      </c>
      <c r="L28" s="5" t="str">
        <f>"000062"</f>
        <v>000062</v>
      </c>
      <c r="M28" s="4">
        <v>43278</v>
      </c>
      <c r="N28" s="5">
        <v>18</v>
      </c>
      <c r="O28" s="5" t="str">
        <f>"003912"</f>
        <v>003912</v>
      </c>
      <c r="P28" s="4">
        <v>43299</v>
      </c>
      <c r="Q28" s="7">
        <v>46.434519999999999</v>
      </c>
      <c r="R28" s="7">
        <v>3.8502900000000002</v>
      </c>
      <c r="S28" s="7">
        <v>42.584229999999998</v>
      </c>
      <c r="T28" s="5">
        <v>130</v>
      </c>
      <c r="U28" s="4">
        <v>43300</v>
      </c>
      <c r="V28" s="5">
        <v>9449780285</v>
      </c>
      <c r="W28" s="6" t="s">
        <v>62</v>
      </c>
      <c r="X28" s="5" t="s">
        <v>47</v>
      </c>
      <c r="Y28" s="6" t="s">
        <v>46</v>
      </c>
      <c r="Z28" s="5" t="s">
        <v>69</v>
      </c>
      <c r="AA28" s="6" t="s">
        <v>70</v>
      </c>
      <c r="AB28" s="7">
        <v>0.46434520000000001</v>
      </c>
      <c r="AD28" s="8"/>
      <c r="AF28" s="8"/>
      <c r="AG28" s="8"/>
    </row>
    <row r="29" spans="1:33" x14ac:dyDescent="0.2">
      <c r="A29" s="12">
        <v>3671</v>
      </c>
      <c r="B29" s="13" t="s">
        <v>33</v>
      </c>
      <c r="C29" s="13">
        <v>43300</v>
      </c>
      <c r="D29" s="5">
        <v>60</v>
      </c>
      <c r="E29" s="6" t="s">
        <v>73</v>
      </c>
      <c r="F29" s="5" t="s">
        <v>135</v>
      </c>
      <c r="G29" s="6" t="s">
        <v>136</v>
      </c>
      <c r="H29" s="5" t="str">
        <f>"000142"</f>
        <v>000142</v>
      </c>
      <c r="I29" s="4">
        <v>43066</v>
      </c>
      <c r="J29" s="5" t="str">
        <f>"000038"</f>
        <v>000038</v>
      </c>
      <c r="K29" s="4">
        <v>43272</v>
      </c>
      <c r="L29" s="5" t="str">
        <f>"000061"</f>
        <v>000061</v>
      </c>
      <c r="M29" s="4">
        <v>43278</v>
      </c>
      <c r="N29" s="5">
        <v>18</v>
      </c>
      <c r="O29" s="5" t="str">
        <f>"003914"</f>
        <v>003914</v>
      </c>
      <c r="P29" s="4">
        <v>43299</v>
      </c>
      <c r="Q29" s="7">
        <v>46.66686</v>
      </c>
      <c r="R29" s="7">
        <v>3.8896199999999999</v>
      </c>
      <c r="S29" s="7">
        <v>42.777239999999999</v>
      </c>
      <c r="T29" s="5">
        <v>130</v>
      </c>
      <c r="U29" s="4">
        <v>43300</v>
      </c>
      <c r="V29" s="5">
        <v>9449780285</v>
      </c>
      <c r="W29" s="6" t="s">
        <v>62</v>
      </c>
      <c r="X29" s="5" t="s">
        <v>47</v>
      </c>
      <c r="Y29" s="6" t="s">
        <v>46</v>
      </c>
      <c r="Z29" s="5" t="s">
        <v>69</v>
      </c>
      <c r="AA29" s="6" t="s">
        <v>70</v>
      </c>
      <c r="AB29" s="7">
        <v>0.46666859999999999</v>
      </c>
      <c r="AD29" s="8"/>
      <c r="AF29" s="8"/>
      <c r="AG29" s="8"/>
    </row>
    <row r="30" spans="1:33" x14ac:dyDescent="0.2">
      <c r="A30" s="12">
        <v>3723</v>
      </c>
      <c r="B30" s="13" t="s">
        <v>33</v>
      </c>
      <c r="C30" s="13">
        <v>43301</v>
      </c>
      <c r="D30" s="5">
        <v>60</v>
      </c>
      <c r="E30" s="6" t="s">
        <v>73</v>
      </c>
      <c r="F30" s="5" t="s">
        <v>130</v>
      </c>
      <c r="G30" s="6" t="s">
        <v>131</v>
      </c>
      <c r="H30" s="5" t="str">
        <f>"000012"</f>
        <v>000012</v>
      </c>
      <c r="I30" s="4">
        <v>42947</v>
      </c>
      <c r="J30" s="5" t="str">
        <f>"000196"</f>
        <v>000196</v>
      </c>
      <c r="K30" s="4">
        <v>43159</v>
      </c>
      <c r="L30" s="5" t="str">
        <f>"000187"</f>
        <v>000187</v>
      </c>
      <c r="M30" s="4">
        <v>43159</v>
      </c>
      <c r="N30" s="5">
        <v>16</v>
      </c>
      <c r="O30" s="5" t="str">
        <f>"003972"</f>
        <v>003972</v>
      </c>
      <c r="P30" s="4">
        <v>43299</v>
      </c>
      <c r="Q30" s="7">
        <v>9.9575399999999998</v>
      </c>
      <c r="R30" s="7">
        <v>0.84791000000000005</v>
      </c>
      <c r="S30" s="7">
        <v>9.1096299999999992</v>
      </c>
      <c r="T30" s="5">
        <v>134</v>
      </c>
      <c r="U30" s="4">
        <v>43301</v>
      </c>
      <c r="V30" s="5">
        <v>9845860866</v>
      </c>
      <c r="W30" s="6" t="s">
        <v>132</v>
      </c>
      <c r="X30" s="5" t="s">
        <v>34</v>
      </c>
      <c r="Y30" s="6" t="s">
        <v>35</v>
      </c>
      <c r="Z30" s="5" t="s">
        <v>65</v>
      </c>
      <c r="AA30" s="6" t="s">
        <v>66</v>
      </c>
      <c r="AB30" s="7">
        <v>9.9575399999999994E-2</v>
      </c>
      <c r="AD30" s="8"/>
      <c r="AF30" s="8"/>
      <c r="AG30" s="8"/>
    </row>
    <row r="31" spans="1:33" x14ac:dyDescent="0.2">
      <c r="A31" s="12">
        <v>3907</v>
      </c>
      <c r="B31" s="13" t="s">
        <v>33</v>
      </c>
      <c r="C31" s="13">
        <v>43305</v>
      </c>
      <c r="D31" s="5">
        <v>60</v>
      </c>
      <c r="E31" s="6" t="s">
        <v>73</v>
      </c>
      <c r="F31" s="5" t="s">
        <v>137</v>
      </c>
      <c r="G31" s="6" t="s">
        <v>138</v>
      </c>
      <c r="H31" s="5" t="str">
        <f>"000110"</f>
        <v>000110</v>
      </c>
      <c r="I31" s="4">
        <v>42537</v>
      </c>
      <c r="J31" s="5" t="str">
        <f>"000125"</f>
        <v>000125</v>
      </c>
      <c r="K31" s="4">
        <v>42670</v>
      </c>
      <c r="L31" s="5" t="str">
        <f>"000293"</f>
        <v>000293</v>
      </c>
      <c r="M31" s="4">
        <v>42670</v>
      </c>
      <c r="N31" s="5">
        <v>16</v>
      </c>
      <c r="O31" s="5" t="str">
        <f>"004094"</f>
        <v>004094</v>
      </c>
      <c r="P31" s="4">
        <v>43301</v>
      </c>
      <c r="Q31" s="7">
        <v>10</v>
      </c>
      <c r="R31" s="7">
        <v>1.266</v>
      </c>
      <c r="S31" s="7">
        <v>8.734</v>
      </c>
      <c r="T31" s="5">
        <v>139</v>
      </c>
      <c r="U31" s="4">
        <v>43305</v>
      </c>
      <c r="V31" s="5">
        <v>9945568501</v>
      </c>
      <c r="W31" s="6" t="s">
        <v>55</v>
      </c>
      <c r="X31" s="5" t="s">
        <v>57</v>
      </c>
      <c r="Y31" s="6" t="s">
        <v>56</v>
      </c>
      <c r="Z31" s="5" t="s">
        <v>69</v>
      </c>
      <c r="AA31" s="6" t="s">
        <v>70</v>
      </c>
      <c r="AB31" s="7">
        <v>0.1</v>
      </c>
      <c r="AD31" s="8"/>
      <c r="AF31" s="8"/>
      <c r="AG31" s="8"/>
    </row>
    <row r="32" spans="1:33" x14ac:dyDescent="0.2">
      <c r="A32" s="12">
        <v>4669</v>
      </c>
      <c r="B32" s="13" t="s">
        <v>30</v>
      </c>
      <c r="C32" s="13">
        <v>43325</v>
      </c>
      <c r="D32" s="5">
        <v>60</v>
      </c>
      <c r="E32" s="6" t="s">
        <v>73</v>
      </c>
      <c r="F32" s="5" t="s">
        <v>139</v>
      </c>
      <c r="G32" s="6" t="s">
        <v>140</v>
      </c>
      <c r="H32" s="5" t="str">
        <f>"000191"</f>
        <v>000191</v>
      </c>
      <c r="I32" s="4">
        <v>43112</v>
      </c>
      <c r="J32" s="5" t="str">
        <f>"000028"</f>
        <v>000028</v>
      </c>
      <c r="K32" s="4">
        <v>43253</v>
      </c>
      <c r="L32" s="5" t="str">
        <f>"000043"</f>
        <v>000043</v>
      </c>
      <c r="M32" s="4">
        <v>43255</v>
      </c>
      <c r="N32" s="5">
        <v>18</v>
      </c>
      <c r="O32" s="5" t="str">
        <f>"004054"</f>
        <v>004054</v>
      </c>
      <c r="P32" s="4">
        <v>43301</v>
      </c>
      <c r="Q32" s="7">
        <v>19.815000000000001</v>
      </c>
      <c r="R32" s="7">
        <v>1.93591</v>
      </c>
      <c r="S32" s="7">
        <v>17.879090000000001</v>
      </c>
      <c r="T32" s="5">
        <v>166</v>
      </c>
      <c r="U32" s="4">
        <v>43325</v>
      </c>
      <c r="V32" s="5">
        <v>9945568501</v>
      </c>
      <c r="W32" s="6" t="s">
        <v>62</v>
      </c>
      <c r="X32" s="5" t="s">
        <v>76</v>
      </c>
      <c r="Y32" s="6" t="s">
        <v>77</v>
      </c>
      <c r="Z32" s="5" t="s">
        <v>69</v>
      </c>
      <c r="AA32" s="6" t="s">
        <v>70</v>
      </c>
      <c r="AB32" s="7">
        <v>0.19815000000000002</v>
      </c>
      <c r="AD32" s="8"/>
      <c r="AF32" s="8"/>
      <c r="AG32" s="8"/>
    </row>
    <row r="33" spans="1:33" x14ac:dyDescent="0.2">
      <c r="A33" s="12">
        <v>4670</v>
      </c>
      <c r="B33" s="13" t="s">
        <v>30</v>
      </c>
      <c r="C33" s="13">
        <v>43325</v>
      </c>
      <c r="D33" s="5">
        <v>60</v>
      </c>
      <c r="E33" s="6" t="s">
        <v>73</v>
      </c>
      <c r="F33" s="5" t="s">
        <v>141</v>
      </c>
      <c r="G33" s="6" t="s">
        <v>142</v>
      </c>
      <c r="H33" s="5" t="str">
        <f>"000213"</f>
        <v>000213</v>
      </c>
      <c r="I33" s="4">
        <v>43139</v>
      </c>
      <c r="J33" s="5" t="str">
        <f>"000033"</f>
        <v>000033</v>
      </c>
      <c r="K33" s="4">
        <v>43265</v>
      </c>
      <c r="L33" s="5" t="str">
        <f>"000051"</f>
        <v>000051</v>
      </c>
      <c r="M33" s="4">
        <v>43265</v>
      </c>
      <c r="N33" s="5">
        <v>18</v>
      </c>
      <c r="O33" s="5" t="str">
        <f>"004561"</f>
        <v>004561</v>
      </c>
      <c r="P33" s="4">
        <v>43313</v>
      </c>
      <c r="Q33" s="7">
        <v>19.783080000000002</v>
      </c>
      <c r="R33" s="7">
        <v>1.6985600000000001</v>
      </c>
      <c r="S33" s="7">
        <v>18.084520000000001</v>
      </c>
      <c r="T33" s="5">
        <v>166</v>
      </c>
      <c r="U33" s="4">
        <v>43325</v>
      </c>
      <c r="V33" s="5">
        <v>9945568501</v>
      </c>
      <c r="W33" s="6" t="s">
        <v>62</v>
      </c>
      <c r="X33" s="5" t="s">
        <v>52</v>
      </c>
      <c r="Y33" s="6" t="s">
        <v>51</v>
      </c>
      <c r="Z33" s="5" t="s">
        <v>69</v>
      </c>
      <c r="AA33" s="6" t="s">
        <v>70</v>
      </c>
      <c r="AB33" s="7">
        <v>0.19783080000000003</v>
      </c>
      <c r="AD33" s="8"/>
      <c r="AF33" s="8"/>
      <c r="AG33" s="8"/>
    </row>
    <row r="34" spans="1:33" x14ac:dyDescent="0.2">
      <c r="A34" s="12">
        <v>4785</v>
      </c>
      <c r="B34" s="13" t="s">
        <v>30</v>
      </c>
      <c r="C34" s="13">
        <v>43326</v>
      </c>
      <c r="D34" s="5">
        <v>60</v>
      </c>
      <c r="E34" s="6" t="s">
        <v>73</v>
      </c>
      <c r="F34" s="5" t="s">
        <v>143</v>
      </c>
      <c r="G34" s="6" t="s">
        <v>144</v>
      </c>
      <c r="H34" s="5" t="str">
        <f>"000015"</f>
        <v>000015</v>
      </c>
      <c r="I34" s="4">
        <v>42941</v>
      </c>
      <c r="J34" s="5" t="str">
        <f>"000022"</f>
        <v>000022</v>
      </c>
      <c r="K34" s="4">
        <v>42948</v>
      </c>
      <c r="L34" s="5" t="str">
        <f>"000102"</f>
        <v>000102</v>
      </c>
      <c r="M34" s="4">
        <v>42916</v>
      </c>
      <c r="N34" s="5">
        <v>16</v>
      </c>
      <c r="O34" s="5" t="str">
        <f>"005146"</f>
        <v>005146</v>
      </c>
      <c r="P34" s="4">
        <v>43325</v>
      </c>
      <c r="Q34" s="7">
        <v>22.533180000000002</v>
      </c>
      <c r="R34" s="7">
        <v>3.3109000000000002</v>
      </c>
      <c r="S34" s="7">
        <v>19.222280000000001</v>
      </c>
      <c r="T34" s="5">
        <v>172</v>
      </c>
      <c r="U34" s="4">
        <v>43326</v>
      </c>
      <c r="V34" s="5">
        <v>9945525730</v>
      </c>
      <c r="W34" s="6" t="s">
        <v>58</v>
      </c>
      <c r="X34" s="5" t="s">
        <v>63</v>
      </c>
      <c r="Y34" s="6" t="s">
        <v>64</v>
      </c>
      <c r="Z34" s="5" t="s">
        <v>65</v>
      </c>
      <c r="AA34" s="6" t="s">
        <v>66</v>
      </c>
      <c r="AB34" s="7">
        <v>0.22533180000000003</v>
      </c>
      <c r="AD34" s="8"/>
      <c r="AF34" s="8"/>
      <c r="AG34" s="8"/>
    </row>
    <row r="35" spans="1:33" x14ac:dyDescent="0.2">
      <c r="A35" s="12">
        <v>4786</v>
      </c>
      <c r="B35" s="13" t="s">
        <v>30</v>
      </c>
      <c r="C35" s="13">
        <v>43326</v>
      </c>
      <c r="D35" s="5">
        <v>60</v>
      </c>
      <c r="E35" s="6" t="s">
        <v>73</v>
      </c>
      <c r="F35" s="5" t="s">
        <v>145</v>
      </c>
      <c r="G35" s="6" t="s">
        <v>146</v>
      </c>
      <c r="H35" s="5" t="str">
        <f>"000014"</f>
        <v>000014</v>
      </c>
      <c r="I35" s="4">
        <v>42941</v>
      </c>
      <c r="J35" s="5" t="str">
        <f>"000027"</f>
        <v>000027</v>
      </c>
      <c r="K35" s="4">
        <v>42948</v>
      </c>
      <c r="L35" s="5" t="str">
        <f>"000108"</f>
        <v>000108</v>
      </c>
      <c r="M35" s="4">
        <v>42916</v>
      </c>
      <c r="N35" s="5">
        <v>17</v>
      </c>
      <c r="O35" s="5" t="str">
        <f>"005152"</f>
        <v>005152</v>
      </c>
      <c r="P35" s="4">
        <v>43325</v>
      </c>
      <c r="Q35" s="7">
        <v>23.001580000000001</v>
      </c>
      <c r="R35" s="7">
        <v>3.3755000000000002</v>
      </c>
      <c r="S35" s="7">
        <v>19.626080000000002</v>
      </c>
      <c r="T35" s="5">
        <v>172</v>
      </c>
      <c r="U35" s="4">
        <v>43326</v>
      </c>
      <c r="V35" s="5">
        <v>9945525730</v>
      </c>
      <c r="W35" s="6" t="s">
        <v>58</v>
      </c>
      <c r="X35" s="5" t="s">
        <v>63</v>
      </c>
      <c r="Y35" s="6" t="s">
        <v>64</v>
      </c>
      <c r="Z35" s="5" t="s">
        <v>65</v>
      </c>
      <c r="AA35" s="6" t="s">
        <v>66</v>
      </c>
      <c r="AB35" s="7">
        <v>0.23001579999999999</v>
      </c>
      <c r="AD35" s="8"/>
      <c r="AF35" s="8"/>
      <c r="AG35" s="8"/>
    </row>
    <row r="36" spans="1:33" x14ac:dyDescent="0.2">
      <c r="A36" s="12">
        <v>4972</v>
      </c>
      <c r="B36" s="13" t="s">
        <v>30</v>
      </c>
      <c r="C36" s="13">
        <v>43330</v>
      </c>
      <c r="D36" s="5">
        <v>60</v>
      </c>
      <c r="E36" s="6" t="s">
        <v>73</v>
      </c>
      <c r="F36" s="5" t="s">
        <v>147</v>
      </c>
      <c r="G36" s="6" t="s">
        <v>148</v>
      </c>
      <c r="H36" s="5" t="str">
        <f>"000367"</f>
        <v>000367</v>
      </c>
      <c r="I36" s="4">
        <v>41341</v>
      </c>
      <c r="J36" s="5" t="str">
        <f>"000228"</f>
        <v>000228</v>
      </c>
      <c r="K36" s="4">
        <v>42825</v>
      </c>
      <c r="L36" s="5" t="str">
        <f>"000505"</f>
        <v>000505</v>
      </c>
      <c r="M36" s="4">
        <v>42825</v>
      </c>
      <c r="N36" s="5">
        <v>12</v>
      </c>
      <c r="O36" s="5" t="str">
        <f>"005192"</f>
        <v>005192</v>
      </c>
      <c r="P36" s="4">
        <v>43326</v>
      </c>
      <c r="Q36" s="7">
        <v>9.94787</v>
      </c>
      <c r="R36" s="7">
        <v>1.13147</v>
      </c>
      <c r="S36" s="7">
        <v>8.8163999999999998</v>
      </c>
      <c r="T36" s="5">
        <v>174</v>
      </c>
      <c r="U36" s="4">
        <v>43330</v>
      </c>
      <c r="V36" s="5">
        <v>9845856325</v>
      </c>
      <c r="W36" s="6" t="s">
        <v>149</v>
      </c>
      <c r="X36" s="5" t="s">
        <v>31</v>
      </c>
      <c r="Y36" s="6" t="s">
        <v>32</v>
      </c>
      <c r="Z36" s="5" t="s">
        <v>69</v>
      </c>
      <c r="AA36" s="6" t="s">
        <v>70</v>
      </c>
      <c r="AB36" s="7">
        <v>9.9478700000000003E-2</v>
      </c>
      <c r="AD36" s="8"/>
      <c r="AF36" s="8"/>
      <c r="AG36" s="8"/>
    </row>
    <row r="37" spans="1:33" x14ac:dyDescent="0.2">
      <c r="A37" s="12">
        <v>4973</v>
      </c>
      <c r="B37" s="13" t="s">
        <v>30</v>
      </c>
      <c r="C37" s="13">
        <v>43330</v>
      </c>
      <c r="D37" s="5">
        <v>60</v>
      </c>
      <c r="E37" s="6" t="s">
        <v>73</v>
      </c>
      <c r="F37" s="5" t="s">
        <v>150</v>
      </c>
      <c r="G37" s="6" t="s">
        <v>151</v>
      </c>
      <c r="H37" s="5" t="str">
        <f>"000222"</f>
        <v>000222</v>
      </c>
      <c r="I37" s="4">
        <v>42786</v>
      </c>
      <c r="J37" s="5" t="str">
        <f>"000229"</f>
        <v>000229</v>
      </c>
      <c r="K37" s="4">
        <v>42824</v>
      </c>
      <c r="L37" s="5" t="str">
        <f>"000550"</f>
        <v>000550</v>
      </c>
      <c r="M37" s="4">
        <v>42825</v>
      </c>
      <c r="N37" s="5">
        <v>17</v>
      </c>
      <c r="O37" s="5" t="str">
        <f>"005212"</f>
        <v>005212</v>
      </c>
      <c r="P37" s="4">
        <v>43326</v>
      </c>
      <c r="Q37" s="7">
        <v>9.3884899999999991</v>
      </c>
      <c r="R37" s="7">
        <v>0.62585000000000002</v>
      </c>
      <c r="S37" s="7">
        <v>8.7626399999999993</v>
      </c>
      <c r="T37" s="5">
        <v>174</v>
      </c>
      <c r="U37" s="4">
        <v>43330</v>
      </c>
      <c r="V37" s="5">
        <v>9986303399</v>
      </c>
      <c r="W37" s="6" t="s">
        <v>67</v>
      </c>
      <c r="X37" s="5" t="s">
        <v>31</v>
      </c>
      <c r="Y37" s="6" t="s">
        <v>32</v>
      </c>
      <c r="Z37" s="5" t="s">
        <v>69</v>
      </c>
      <c r="AA37" s="6" t="s">
        <v>70</v>
      </c>
      <c r="AB37" s="7">
        <v>9.3884899999999993E-2</v>
      </c>
      <c r="AD37" s="8"/>
      <c r="AF37" s="8"/>
      <c r="AG37" s="8"/>
    </row>
    <row r="38" spans="1:33" x14ac:dyDescent="0.2">
      <c r="A38" s="12">
        <v>4974</v>
      </c>
      <c r="B38" s="13" t="s">
        <v>30</v>
      </c>
      <c r="C38" s="13">
        <v>43330</v>
      </c>
      <c r="D38" s="5">
        <v>60</v>
      </c>
      <c r="E38" s="6" t="s">
        <v>73</v>
      </c>
      <c r="F38" s="5" t="s">
        <v>152</v>
      </c>
      <c r="G38" s="6" t="s">
        <v>153</v>
      </c>
      <c r="H38" s="5" t="str">
        <f>"000230"</f>
        <v>000230</v>
      </c>
      <c r="I38" s="4">
        <v>42795</v>
      </c>
      <c r="J38" s="5" t="str">
        <f>"000232"</f>
        <v>000232</v>
      </c>
      <c r="K38" s="4">
        <v>42824</v>
      </c>
      <c r="L38" s="5" t="str">
        <f>"000551"</f>
        <v>000551</v>
      </c>
      <c r="M38" s="4">
        <v>42825</v>
      </c>
      <c r="N38" s="5">
        <v>17</v>
      </c>
      <c r="O38" s="5" t="str">
        <f>"005214"</f>
        <v>005214</v>
      </c>
      <c r="P38" s="4">
        <v>43326</v>
      </c>
      <c r="Q38" s="7">
        <v>18.431809999999999</v>
      </c>
      <c r="R38" s="7">
        <v>1.1870700000000001</v>
      </c>
      <c r="S38" s="7">
        <v>17.24474</v>
      </c>
      <c r="T38" s="5">
        <v>174</v>
      </c>
      <c r="U38" s="4">
        <v>43330</v>
      </c>
      <c r="V38" s="5">
        <v>9986303399</v>
      </c>
      <c r="W38" s="6" t="s">
        <v>68</v>
      </c>
      <c r="X38" s="5" t="s">
        <v>31</v>
      </c>
      <c r="Y38" s="6" t="s">
        <v>32</v>
      </c>
      <c r="Z38" s="5" t="s">
        <v>69</v>
      </c>
      <c r="AA38" s="6" t="s">
        <v>70</v>
      </c>
      <c r="AB38" s="7">
        <v>0.18431809999999998</v>
      </c>
      <c r="AD38" s="8"/>
      <c r="AF38" s="8"/>
      <c r="AG38" s="8"/>
    </row>
    <row r="39" spans="1:33" x14ac:dyDescent="0.2">
      <c r="A39" s="12">
        <v>4975</v>
      </c>
      <c r="B39" s="13" t="s">
        <v>30</v>
      </c>
      <c r="C39" s="13">
        <v>43330</v>
      </c>
      <c r="D39" s="5">
        <v>60</v>
      </c>
      <c r="E39" s="6" t="s">
        <v>73</v>
      </c>
      <c r="F39" s="5" t="s">
        <v>154</v>
      </c>
      <c r="G39" s="6" t="s">
        <v>155</v>
      </c>
      <c r="H39" s="5" t="str">
        <f>"000223"</f>
        <v>000223</v>
      </c>
      <c r="I39" s="4">
        <v>42786</v>
      </c>
      <c r="J39" s="5" t="str">
        <f>"000230"</f>
        <v>000230</v>
      </c>
      <c r="K39" s="4">
        <v>42824</v>
      </c>
      <c r="L39" s="5" t="str">
        <f>"000552"</f>
        <v>000552</v>
      </c>
      <c r="M39" s="4">
        <v>42825</v>
      </c>
      <c r="N39" s="5">
        <v>17</v>
      </c>
      <c r="O39" s="5" t="str">
        <f>"005216"</f>
        <v>005216</v>
      </c>
      <c r="P39" s="4">
        <v>43326</v>
      </c>
      <c r="Q39" s="7">
        <v>9.3676300000000001</v>
      </c>
      <c r="R39" s="7">
        <v>0.60443999999999998</v>
      </c>
      <c r="S39" s="7">
        <v>8.7631899999999998</v>
      </c>
      <c r="T39" s="5">
        <v>174</v>
      </c>
      <c r="U39" s="4">
        <v>43330</v>
      </c>
      <c r="V39" s="5">
        <v>9986303399</v>
      </c>
      <c r="W39" s="6" t="s">
        <v>67</v>
      </c>
      <c r="X39" s="5" t="s">
        <v>31</v>
      </c>
      <c r="Y39" s="6" t="s">
        <v>32</v>
      </c>
      <c r="Z39" s="5" t="s">
        <v>69</v>
      </c>
      <c r="AA39" s="6" t="s">
        <v>70</v>
      </c>
      <c r="AB39" s="7">
        <v>9.3676300000000004E-2</v>
      </c>
      <c r="AD39" s="8"/>
      <c r="AF39" s="8"/>
      <c r="AG39" s="8"/>
    </row>
    <row r="40" spans="1:33" x14ac:dyDescent="0.2">
      <c r="A40" s="12">
        <v>4976</v>
      </c>
      <c r="B40" s="13" t="s">
        <v>30</v>
      </c>
      <c r="C40" s="13">
        <v>43330</v>
      </c>
      <c r="D40" s="5">
        <v>60</v>
      </c>
      <c r="E40" s="6" t="s">
        <v>73</v>
      </c>
      <c r="F40" s="5" t="s">
        <v>156</v>
      </c>
      <c r="G40" s="6" t="s">
        <v>157</v>
      </c>
      <c r="H40" s="5" t="str">
        <f>"000224"</f>
        <v>000224</v>
      </c>
      <c r="I40" s="4">
        <v>42786</v>
      </c>
      <c r="J40" s="5" t="str">
        <f>"000231"</f>
        <v>000231</v>
      </c>
      <c r="K40" s="4">
        <v>42824</v>
      </c>
      <c r="L40" s="5" t="str">
        <f>"000553"</f>
        <v>000553</v>
      </c>
      <c r="M40" s="4">
        <v>42825</v>
      </c>
      <c r="N40" s="5">
        <v>17</v>
      </c>
      <c r="O40" s="5" t="str">
        <f>"005219"</f>
        <v>005219</v>
      </c>
      <c r="P40" s="4">
        <v>43326</v>
      </c>
      <c r="Q40" s="7">
        <v>18.683900000000001</v>
      </c>
      <c r="R40" s="7">
        <v>1.20241</v>
      </c>
      <c r="S40" s="7">
        <v>17.481490000000001</v>
      </c>
      <c r="T40" s="5">
        <v>174</v>
      </c>
      <c r="U40" s="4">
        <v>43330</v>
      </c>
      <c r="V40" s="5">
        <v>9986303399</v>
      </c>
      <c r="W40" s="6" t="s">
        <v>158</v>
      </c>
      <c r="X40" s="5" t="s">
        <v>31</v>
      </c>
      <c r="Y40" s="6" t="s">
        <v>32</v>
      </c>
      <c r="Z40" s="5" t="s">
        <v>69</v>
      </c>
      <c r="AA40" s="6" t="s">
        <v>70</v>
      </c>
      <c r="AB40" s="7">
        <v>0.18683900000000001</v>
      </c>
      <c r="AD40" s="8"/>
      <c r="AF40" s="8"/>
      <c r="AG40" s="8"/>
    </row>
    <row r="41" spans="1:33" x14ac:dyDescent="0.2">
      <c r="A41" s="12">
        <v>5093</v>
      </c>
      <c r="B41" s="13" t="s">
        <v>30</v>
      </c>
      <c r="C41" s="13">
        <v>43337</v>
      </c>
      <c r="D41" s="5">
        <v>60</v>
      </c>
      <c r="E41" s="6" t="s">
        <v>73</v>
      </c>
      <c r="F41" s="5" t="s">
        <v>159</v>
      </c>
      <c r="G41" s="6" t="s">
        <v>160</v>
      </c>
      <c r="H41" s="5" t="str">
        <f>"000039"</f>
        <v>000039</v>
      </c>
      <c r="I41" s="4">
        <v>43299</v>
      </c>
      <c r="J41" s="5" t="str">
        <f>"000063"</f>
        <v>000063</v>
      </c>
      <c r="K41" s="4">
        <v>43300</v>
      </c>
      <c r="L41" s="5" t="str">
        <f>"000086"</f>
        <v>000086</v>
      </c>
      <c r="M41" s="4">
        <v>43300</v>
      </c>
      <c r="N41" s="5">
        <v>18</v>
      </c>
      <c r="O41" s="5" t="str">
        <f>"005227"</f>
        <v>005227</v>
      </c>
      <c r="P41" s="4">
        <v>43326</v>
      </c>
      <c r="Q41" s="7">
        <v>29.738299999999999</v>
      </c>
      <c r="R41" s="7">
        <v>2.6694200000000001</v>
      </c>
      <c r="S41" s="7">
        <v>27.06888</v>
      </c>
      <c r="T41" s="5">
        <v>181</v>
      </c>
      <c r="U41" s="4">
        <v>43337</v>
      </c>
      <c r="V41" s="5">
        <v>9845028772</v>
      </c>
      <c r="W41" s="6" t="s">
        <v>62</v>
      </c>
      <c r="X41" s="5" t="s">
        <v>52</v>
      </c>
      <c r="Y41" s="6" t="s">
        <v>51</v>
      </c>
      <c r="Z41" s="5" t="s">
        <v>69</v>
      </c>
      <c r="AA41" s="6" t="s">
        <v>70</v>
      </c>
      <c r="AB41" s="7">
        <v>0.29738300000000001</v>
      </c>
      <c r="AD41" s="8"/>
      <c r="AF41" s="8"/>
      <c r="AG41" s="8"/>
    </row>
    <row r="42" spans="1:33" x14ac:dyDescent="0.2">
      <c r="A42" s="12">
        <v>5094</v>
      </c>
      <c r="B42" s="13" t="s">
        <v>30</v>
      </c>
      <c r="C42" s="13">
        <v>43337</v>
      </c>
      <c r="D42" s="5">
        <v>60</v>
      </c>
      <c r="E42" s="6" t="s">
        <v>73</v>
      </c>
      <c r="F42" s="5" t="s">
        <v>161</v>
      </c>
      <c r="G42" s="6" t="s">
        <v>162</v>
      </c>
      <c r="H42" s="5" t="str">
        <f>"000040"</f>
        <v>000040</v>
      </c>
      <c r="I42" s="4">
        <v>43299</v>
      </c>
      <c r="J42" s="5" t="str">
        <f>"000062"</f>
        <v>000062</v>
      </c>
      <c r="K42" s="4">
        <v>43299</v>
      </c>
      <c r="L42" s="5" t="str">
        <f>"000085"</f>
        <v>000085</v>
      </c>
      <c r="M42" s="4">
        <v>43300</v>
      </c>
      <c r="N42" s="5">
        <v>18</v>
      </c>
      <c r="O42" s="5" t="str">
        <f>"005228"</f>
        <v>005228</v>
      </c>
      <c r="P42" s="4">
        <v>43326</v>
      </c>
      <c r="Q42" s="7">
        <v>49.6053</v>
      </c>
      <c r="R42" s="7">
        <v>4.1971999999999996</v>
      </c>
      <c r="S42" s="7">
        <v>45.408099999999997</v>
      </c>
      <c r="T42" s="5">
        <v>181</v>
      </c>
      <c r="U42" s="4">
        <v>43337</v>
      </c>
      <c r="V42" s="5">
        <v>9845028772</v>
      </c>
      <c r="W42" s="6" t="s">
        <v>62</v>
      </c>
      <c r="X42" s="5" t="s">
        <v>76</v>
      </c>
      <c r="Y42" s="6" t="s">
        <v>77</v>
      </c>
      <c r="Z42" s="5" t="s">
        <v>69</v>
      </c>
      <c r="AA42" s="6" t="s">
        <v>70</v>
      </c>
      <c r="AB42" s="7">
        <v>0.49605300000000002</v>
      </c>
      <c r="AD42" s="8"/>
      <c r="AF42" s="8"/>
      <c r="AG42" s="8"/>
    </row>
    <row r="43" spans="1:33" x14ac:dyDescent="0.2">
      <c r="A43" s="12">
        <v>5095</v>
      </c>
      <c r="B43" s="13" t="s">
        <v>30</v>
      </c>
      <c r="C43" s="13">
        <v>43337</v>
      </c>
      <c r="D43" s="5">
        <v>60</v>
      </c>
      <c r="E43" s="6" t="s">
        <v>73</v>
      </c>
      <c r="F43" s="5" t="s">
        <v>163</v>
      </c>
      <c r="G43" s="6" t="s">
        <v>164</v>
      </c>
      <c r="H43" s="5" t="str">
        <f>"000038"</f>
        <v>000038</v>
      </c>
      <c r="I43" s="4">
        <v>43298</v>
      </c>
      <c r="J43" s="5" t="str">
        <f>"000059"</f>
        <v>000059</v>
      </c>
      <c r="K43" s="4">
        <v>43298</v>
      </c>
      <c r="L43" s="5" t="str">
        <f>"000082"</f>
        <v>000082</v>
      </c>
      <c r="M43" s="4">
        <v>43298</v>
      </c>
      <c r="N43" s="5">
        <v>18</v>
      </c>
      <c r="O43" s="5" t="str">
        <f>"005231"</f>
        <v>005231</v>
      </c>
      <c r="P43" s="4">
        <v>43326</v>
      </c>
      <c r="Q43" s="7">
        <v>11.054</v>
      </c>
      <c r="R43" s="7">
        <v>1.36609</v>
      </c>
      <c r="S43" s="7">
        <v>9.6879100000000005</v>
      </c>
      <c r="T43" s="5">
        <v>181</v>
      </c>
      <c r="U43" s="4">
        <v>43337</v>
      </c>
      <c r="V43" s="5">
        <v>9980809864</v>
      </c>
      <c r="W43" s="6" t="s">
        <v>62</v>
      </c>
      <c r="X43" s="5" t="s">
        <v>76</v>
      </c>
      <c r="Y43" s="6" t="s">
        <v>77</v>
      </c>
      <c r="Z43" s="5" t="s">
        <v>69</v>
      </c>
      <c r="AA43" s="6" t="s">
        <v>70</v>
      </c>
      <c r="AB43" s="7">
        <v>0.11054</v>
      </c>
      <c r="AD43" s="8"/>
      <c r="AF43" s="8"/>
      <c r="AG43" s="8"/>
    </row>
    <row r="44" spans="1:33" x14ac:dyDescent="0.2">
      <c r="A44" s="12">
        <v>5096</v>
      </c>
      <c r="B44" s="13" t="s">
        <v>30</v>
      </c>
      <c r="C44" s="13">
        <v>43337</v>
      </c>
      <c r="D44" s="5">
        <v>60</v>
      </c>
      <c r="E44" s="6" t="s">
        <v>73</v>
      </c>
      <c r="F44" s="5" t="s">
        <v>165</v>
      </c>
      <c r="G44" s="6" t="s">
        <v>166</v>
      </c>
      <c r="H44" s="5" t="str">
        <f>"000212"</f>
        <v>000212</v>
      </c>
      <c r="I44" s="4">
        <v>43139</v>
      </c>
      <c r="J44" s="5" t="str">
        <f>"000065"</f>
        <v>000065</v>
      </c>
      <c r="K44" s="4">
        <v>43302</v>
      </c>
      <c r="L44" s="5" t="str">
        <f>"000088"</f>
        <v>000088</v>
      </c>
      <c r="M44" s="4">
        <v>43307</v>
      </c>
      <c r="N44" s="5">
        <v>18</v>
      </c>
      <c r="O44" s="5" t="str">
        <f>"005243"</f>
        <v>005243</v>
      </c>
      <c r="P44" s="4">
        <v>43326</v>
      </c>
      <c r="Q44" s="7">
        <v>14.678940000000001</v>
      </c>
      <c r="R44" s="7">
        <v>1.26773</v>
      </c>
      <c r="S44" s="7">
        <v>13.411210000000001</v>
      </c>
      <c r="T44" s="5">
        <v>181</v>
      </c>
      <c r="U44" s="4">
        <v>43337</v>
      </c>
      <c r="V44" s="5">
        <v>9945568501</v>
      </c>
      <c r="W44" s="6" t="s">
        <v>62</v>
      </c>
      <c r="X44" s="5" t="s">
        <v>52</v>
      </c>
      <c r="Y44" s="6" t="s">
        <v>51</v>
      </c>
      <c r="Z44" s="5" t="s">
        <v>69</v>
      </c>
      <c r="AA44" s="6" t="s">
        <v>70</v>
      </c>
      <c r="AB44" s="7">
        <v>0.14678940000000001</v>
      </c>
      <c r="AD44" s="8"/>
      <c r="AF44" s="8"/>
      <c r="AG44" s="8"/>
    </row>
    <row r="45" spans="1:33" x14ac:dyDescent="0.2">
      <c r="A45" s="12">
        <v>5097</v>
      </c>
      <c r="B45" s="13" t="s">
        <v>30</v>
      </c>
      <c r="C45" s="13">
        <v>43337</v>
      </c>
      <c r="D45" s="5">
        <v>60</v>
      </c>
      <c r="E45" s="6" t="s">
        <v>73</v>
      </c>
      <c r="F45" s="5" t="s">
        <v>167</v>
      </c>
      <c r="G45" s="6" t="s">
        <v>168</v>
      </c>
      <c r="H45" s="5" t="str">
        <f>"000058"</f>
        <v>000058</v>
      </c>
      <c r="I45" s="4">
        <v>43316</v>
      </c>
      <c r="J45" s="5" t="str">
        <f>"000073"</f>
        <v>000073</v>
      </c>
      <c r="K45" s="4">
        <v>43318</v>
      </c>
      <c r="L45" s="5" t="str">
        <f>"000099"</f>
        <v>000099</v>
      </c>
      <c r="M45" s="4">
        <v>43318</v>
      </c>
      <c r="N45" s="5">
        <v>18</v>
      </c>
      <c r="O45" s="5" t="str">
        <f>"005251"</f>
        <v>005251</v>
      </c>
      <c r="P45" s="4">
        <v>43326</v>
      </c>
      <c r="Q45" s="7">
        <v>13.80827</v>
      </c>
      <c r="R45" s="7">
        <v>2.0577000000000001</v>
      </c>
      <c r="S45" s="7">
        <v>11.75057</v>
      </c>
      <c r="T45" s="5">
        <v>181</v>
      </c>
      <c r="U45" s="4">
        <v>43337</v>
      </c>
      <c r="V45" s="5">
        <v>7892860419</v>
      </c>
      <c r="W45" s="6" t="s">
        <v>62</v>
      </c>
      <c r="X45" s="5" t="s">
        <v>52</v>
      </c>
      <c r="Y45" s="6" t="s">
        <v>51</v>
      </c>
      <c r="Z45" s="5" t="s">
        <v>69</v>
      </c>
      <c r="AA45" s="6" t="s">
        <v>70</v>
      </c>
      <c r="AB45" s="7">
        <v>0.1380827</v>
      </c>
      <c r="AD45" s="8"/>
      <c r="AF45" s="8"/>
      <c r="AG45" s="8"/>
    </row>
    <row r="46" spans="1:33" x14ac:dyDescent="0.2">
      <c r="A46" s="12">
        <v>5222</v>
      </c>
      <c r="B46" s="13" t="s">
        <v>38</v>
      </c>
      <c r="C46" s="13">
        <v>43346</v>
      </c>
      <c r="D46" s="5">
        <v>60</v>
      </c>
      <c r="E46" s="6" t="s">
        <v>73</v>
      </c>
      <c r="F46" s="5" t="s">
        <v>169</v>
      </c>
      <c r="G46" s="6" t="s">
        <v>170</v>
      </c>
      <c r="H46" s="5" t="str">
        <f>"000163"</f>
        <v>000163</v>
      </c>
      <c r="I46" s="4">
        <v>43095</v>
      </c>
      <c r="J46" s="5" t="str">
        <f>"000078"</f>
        <v>000078</v>
      </c>
      <c r="K46" s="4">
        <v>43318</v>
      </c>
      <c r="L46" s="5" t="str">
        <f>"000100"</f>
        <v>000100</v>
      </c>
      <c r="M46" s="4">
        <v>43320</v>
      </c>
      <c r="N46" s="5">
        <v>18</v>
      </c>
      <c r="O46" s="5" t="str">
        <f>"005418"</f>
        <v>005418</v>
      </c>
      <c r="P46" s="4">
        <v>43340</v>
      </c>
      <c r="Q46" s="7">
        <v>49.7</v>
      </c>
      <c r="R46" s="7">
        <v>4.0579999999999998</v>
      </c>
      <c r="S46" s="7">
        <v>45.642000000000003</v>
      </c>
      <c r="T46" s="5">
        <v>187</v>
      </c>
      <c r="U46" s="4">
        <v>43346</v>
      </c>
      <c r="V46" s="5">
        <v>9945568501</v>
      </c>
      <c r="W46" s="6" t="s">
        <v>62</v>
      </c>
      <c r="X46" s="5" t="s">
        <v>52</v>
      </c>
      <c r="Y46" s="6" t="s">
        <v>51</v>
      </c>
      <c r="Z46" s="5" t="s">
        <v>69</v>
      </c>
      <c r="AA46" s="6" t="s">
        <v>70</v>
      </c>
      <c r="AB46" s="7">
        <f>Q46/100</f>
        <v>0.49700000000000005</v>
      </c>
      <c r="AD46" s="8"/>
      <c r="AF46" s="8"/>
      <c r="AG46" s="8"/>
    </row>
    <row r="47" spans="1:33" x14ac:dyDescent="0.2">
      <c r="A47" s="12">
        <v>5223</v>
      </c>
      <c r="B47" s="13" t="s">
        <v>38</v>
      </c>
      <c r="C47" s="13">
        <v>43346</v>
      </c>
      <c r="D47" s="5">
        <v>60</v>
      </c>
      <c r="E47" s="6" t="s">
        <v>73</v>
      </c>
      <c r="F47" s="5" t="s">
        <v>171</v>
      </c>
      <c r="G47" s="6" t="s">
        <v>172</v>
      </c>
      <c r="H47" s="5" t="str">
        <f>"000064"</f>
        <v>000064</v>
      </c>
      <c r="I47" s="4">
        <v>43318</v>
      </c>
      <c r="J47" s="5" t="str">
        <f>"000076"</f>
        <v>000076</v>
      </c>
      <c r="K47" s="4">
        <v>43318</v>
      </c>
      <c r="L47" s="5" t="str">
        <f>"000110"</f>
        <v>000110</v>
      </c>
      <c r="M47" s="4">
        <v>43321</v>
      </c>
      <c r="N47" s="5">
        <v>18</v>
      </c>
      <c r="O47" s="5" t="str">
        <f>"005442"</f>
        <v>005442</v>
      </c>
      <c r="P47" s="4">
        <v>43340</v>
      </c>
      <c r="Q47" s="7">
        <v>51.832999999999998</v>
      </c>
      <c r="R47" s="7">
        <v>6.9664599999999997</v>
      </c>
      <c r="S47" s="7">
        <v>44.866540000000001</v>
      </c>
      <c r="T47" s="5">
        <v>187</v>
      </c>
      <c r="U47" s="4">
        <v>43346</v>
      </c>
      <c r="V47" s="5">
        <v>9886628834</v>
      </c>
      <c r="W47" s="6" t="s">
        <v>61</v>
      </c>
      <c r="X47" s="5" t="s">
        <v>52</v>
      </c>
      <c r="Y47" s="6" t="s">
        <v>51</v>
      </c>
      <c r="Z47" s="5" t="s">
        <v>69</v>
      </c>
      <c r="AA47" s="6" t="s">
        <v>70</v>
      </c>
      <c r="AB47" s="7">
        <f>Q47/100</f>
        <v>0.51832999999999996</v>
      </c>
      <c r="AD47" s="8"/>
      <c r="AF47" s="8"/>
      <c r="AG47" s="8"/>
    </row>
    <row r="48" spans="1:33" x14ac:dyDescent="0.2">
      <c r="A48" s="12">
        <v>5224</v>
      </c>
      <c r="B48" s="13" t="s">
        <v>38</v>
      </c>
      <c r="C48" s="13">
        <v>43346</v>
      </c>
      <c r="D48" s="5">
        <v>60</v>
      </c>
      <c r="E48" s="6" t="s">
        <v>73</v>
      </c>
      <c r="F48" s="5" t="s">
        <v>173</v>
      </c>
      <c r="G48" s="6" t="s">
        <v>174</v>
      </c>
      <c r="H48" s="5" t="str">
        <f>"000065"</f>
        <v>000065</v>
      </c>
      <c r="I48" s="4">
        <v>43318</v>
      </c>
      <c r="J48" s="5" t="str">
        <f>"000077"</f>
        <v>000077</v>
      </c>
      <c r="K48" s="4">
        <v>43318</v>
      </c>
      <c r="L48" s="5" t="str">
        <f>"000111"</f>
        <v>000111</v>
      </c>
      <c r="M48" s="4">
        <v>43321</v>
      </c>
      <c r="N48" s="5">
        <v>18</v>
      </c>
      <c r="O48" s="5" t="str">
        <f>"005444"</f>
        <v>005444</v>
      </c>
      <c r="P48" s="4">
        <v>43340</v>
      </c>
      <c r="Q48" s="7">
        <v>24.860800000000001</v>
      </c>
      <c r="R48" s="7">
        <v>2.29196</v>
      </c>
      <c r="S48" s="7">
        <v>22.568840000000002</v>
      </c>
      <c r="T48" s="5">
        <v>187</v>
      </c>
      <c r="U48" s="4">
        <v>43346</v>
      </c>
      <c r="V48" s="5">
        <v>9886628834</v>
      </c>
      <c r="W48" s="6" t="s">
        <v>61</v>
      </c>
      <c r="X48" s="5" t="s">
        <v>52</v>
      </c>
      <c r="Y48" s="6" t="s">
        <v>51</v>
      </c>
      <c r="Z48" s="5" t="s">
        <v>69</v>
      </c>
      <c r="AA48" s="6" t="s">
        <v>70</v>
      </c>
      <c r="AB48" s="7">
        <f>Q48/100</f>
        <v>0.24860800000000002</v>
      </c>
      <c r="AD48" s="8"/>
      <c r="AF48" s="8"/>
      <c r="AG48" s="8"/>
    </row>
    <row r="49" spans="1:33" x14ac:dyDescent="0.2">
      <c r="A49" s="12">
        <v>6054</v>
      </c>
      <c r="B49" s="13" t="s">
        <v>45</v>
      </c>
      <c r="C49" s="13">
        <v>43385</v>
      </c>
      <c r="D49" s="5">
        <v>60</v>
      </c>
      <c r="E49" s="6" t="s">
        <v>73</v>
      </c>
      <c r="F49" s="5" t="s">
        <v>105</v>
      </c>
      <c r="G49" s="6" t="s">
        <v>175</v>
      </c>
      <c r="H49" s="5" t="str">
        <f>"000247"</f>
        <v>000247</v>
      </c>
      <c r="I49" s="4">
        <v>43185</v>
      </c>
      <c r="J49" s="5" t="str">
        <f>"000081"</f>
        <v>000081</v>
      </c>
      <c r="K49" s="4">
        <v>43320</v>
      </c>
      <c r="L49" s="5" t="str">
        <f>"000105"</f>
        <v>000105</v>
      </c>
      <c r="M49" s="4">
        <v>43321</v>
      </c>
      <c r="N49" s="5">
        <v>18</v>
      </c>
      <c r="O49" s="5" t="str">
        <f>"006603"</f>
        <v>006603</v>
      </c>
      <c r="P49" s="4">
        <v>43384</v>
      </c>
      <c r="Q49" s="7">
        <v>29.648890000000002</v>
      </c>
      <c r="R49" s="7">
        <v>1.3640000000000001</v>
      </c>
      <c r="S49" s="7">
        <v>28.284890000000001</v>
      </c>
      <c r="T49" s="5">
        <v>234</v>
      </c>
      <c r="U49" s="4">
        <v>43385</v>
      </c>
      <c r="V49" s="5">
        <v>9900980808</v>
      </c>
      <c r="W49" s="6" t="s">
        <v>62</v>
      </c>
      <c r="X49" s="5" t="s">
        <v>28</v>
      </c>
      <c r="Y49" s="6" t="s">
        <v>29</v>
      </c>
      <c r="Z49" s="5" t="s">
        <v>69</v>
      </c>
      <c r="AA49" s="6" t="s">
        <v>70</v>
      </c>
      <c r="AB49" s="7">
        <f>Q49/100</f>
        <v>0.2964889</v>
      </c>
      <c r="AD49" s="8"/>
      <c r="AF49" s="8"/>
      <c r="AG49" s="8"/>
    </row>
    <row r="50" spans="1:33" x14ac:dyDescent="0.2">
      <c r="A50" s="12">
        <v>6055</v>
      </c>
      <c r="B50" s="13" t="s">
        <v>45</v>
      </c>
      <c r="C50" s="13">
        <v>43385</v>
      </c>
      <c r="D50" s="5">
        <v>60</v>
      </c>
      <c r="E50" s="6" t="s">
        <v>73</v>
      </c>
      <c r="F50" s="5" t="s">
        <v>103</v>
      </c>
      <c r="G50" s="6" t="s">
        <v>104</v>
      </c>
      <c r="H50" s="5" t="str">
        <f>"000249"</f>
        <v>000249</v>
      </c>
      <c r="I50" s="4">
        <v>43185</v>
      </c>
      <c r="J50" s="5" t="str">
        <f>"000083"</f>
        <v>000083</v>
      </c>
      <c r="K50" s="4">
        <v>43320</v>
      </c>
      <c r="L50" s="5" t="str">
        <f>"000108"</f>
        <v>000108</v>
      </c>
      <c r="M50" s="4">
        <v>43321</v>
      </c>
      <c r="N50" s="5">
        <v>18</v>
      </c>
      <c r="O50" s="5" t="str">
        <f>"006604"</f>
        <v>006604</v>
      </c>
      <c r="P50" s="4">
        <v>43384</v>
      </c>
      <c r="Q50" s="7">
        <v>59.887439999999998</v>
      </c>
      <c r="R50" s="7">
        <v>2.7915000000000001</v>
      </c>
      <c r="S50" s="7">
        <v>57.095939999999999</v>
      </c>
      <c r="T50" s="5">
        <v>234</v>
      </c>
      <c r="U50" s="4">
        <v>43385</v>
      </c>
      <c r="V50" s="5">
        <v>9900980808</v>
      </c>
      <c r="W50" s="6" t="s">
        <v>62</v>
      </c>
      <c r="X50" s="5" t="s">
        <v>28</v>
      </c>
      <c r="Y50" s="6" t="s">
        <v>29</v>
      </c>
      <c r="Z50" s="5" t="s">
        <v>69</v>
      </c>
      <c r="AA50" s="6" t="s">
        <v>70</v>
      </c>
      <c r="AB50" s="7">
        <f>Q50/100</f>
        <v>0.59887440000000003</v>
      </c>
      <c r="AD50" s="8"/>
      <c r="AF50" s="8"/>
      <c r="AG50" s="8"/>
    </row>
    <row r="51" spans="1:33" x14ac:dyDescent="0.2">
      <c r="A51" s="12">
        <v>6537</v>
      </c>
      <c r="B51" s="13" t="s">
        <v>45</v>
      </c>
      <c r="C51" s="13">
        <v>43389</v>
      </c>
      <c r="D51" s="5">
        <v>60</v>
      </c>
      <c r="E51" s="6" t="s">
        <v>73</v>
      </c>
      <c r="F51" s="5" t="s">
        <v>176</v>
      </c>
      <c r="G51" s="6" t="s">
        <v>177</v>
      </c>
      <c r="H51" s="5" t="str">
        <f>"000260"</f>
        <v>000260</v>
      </c>
      <c r="I51" s="4">
        <v>42825</v>
      </c>
      <c r="J51" s="5" t="str">
        <f>"000002"</f>
        <v>000002</v>
      </c>
      <c r="K51" s="4">
        <v>42847</v>
      </c>
      <c r="L51" s="5" t="str">
        <f>"000002"</f>
        <v>000002</v>
      </c>
      <c r="M51" s="4">
        <v>42849</v>
      </c>
      <c r="N51" s="5">
        <v>16</v>
      </c>
      <c r="O51" s="5" t="str">
        <f>"006587"</f>
        <v>006587</v>
      </c>
      <c r="P51" s="4">
        <v>43383</v>
      </c>
      <c r="Q51" s="7">
        <v>9.0391999999999992</v>
      </c>
      <c r="R51" s="7">
        <v>1.1888000000000001</v>
      </c>
      <c r="S51" s="7">
        <v>7.8503999999999996</v>
      </c>
      <c r="T51" s="5">
        <v>243</v>
      </c>
      <c r="U51" s="4">
        <v>43389</v>
      </c>
      <c r="V51" s="5">
        <v>9945568501</v>
      </c>
      <c r="W51" s="6" t="s">
        <v>55</v>
      </c>
      <c r="X51" s="5" t="s">
        <v>57</v>
      </c>
      <c r="Y51" s="6" t="s">
        <v>56</v>
      </c>
      <c r="Z51" s="5" t="s">
        <v>69</v>
      </c>
      <c r="AA51" s="6" t="s">
        <v>70</v>
      </c>
      <c r="AB51" s="7">
        <f>Q51/100</f>
        <v>9.0391999999999986E-2</v>
      </c>
      <c r="AD51" s="8"/>
      <c r="AF51" s="8"/>
      <c r="AG51" s="8"/>
    </row>
    <row r="52" spans="1:33" x14ac:dyDescent="0.2">
      <c r="A52" s="12">
        <v>6847</v>
      </c>
      <c r="B52" s="13" t="s">
        <v>45</v>
      </c>
      <c r="C52" s="13">
        <v>43398</v>
      </c>
      <c r="D52" s="5">
        <v>60</v>
      </c>
      <c r="E52" s="6" t="s">
        <v>73</v>
      </c>
      <c r="F52" s="5" t="s">
        <v>178</v>
      </c>
      <c r="G52" s="6" t="s">
        <v>179</v>
      </c>
      <c r="H52" s="5" t="str">
        <f>"000195"</f>
        <v>000195</v>
      </c>
      <c r="I52" s="4">
        <v>43112</v>
      </c>
      <c r="J52" s="5" t="str">
        <f>"000030"</f>
        <v>000030</v>
      </c>
      <c r="K52" s="4">
        <v>43258</v>
      </c>
      <c r="L52" s="5" t="str">
        <f>"000045"</f>
        <v>000045</v>
      </c>
      <c r="M52" s="4">
        <v>43258</v>
      </c>
      <c r="N52" s="5">
        <v>18</v>
      </c>
      <c r="O52" s="5" t="str">
        <f>"006748"</f>
        <v>006748</v>
      </c>
      <c r="P52" s="4">
        <v>43389</v>
      </c>
      <c r="Q52" s="7">
        <v>4.1587500000000004</v>
      </c>
      <c r="R52" s="7">
        <v>1.1295999999999999</v>
      </c>
      <c r="S52" s="7">
        <v>3.02915</v>
      </c>
      <c r="T52" s="5">
        <v>249</v>
      </c>
      <c r="U52" s="4">
        <v>43398</v>
      </c>
      <c r="V52" s="5">
        <v>9945568501</v>
      </c>
      <c r="W52" s="6" t="s">
        <v>62</v>
      </c>
      <c r="X52" s="5" t="s">
        <v>52</v>
      </c>
      <c r="Y52" s="6" t="s">
        <v>51</v>
      </c>
      <c r="Z52" s="5" t="s">
        <v>69</v>
      </c>
      <c r="AA52" s="6" t="s">
        <v>70</v>
      </c>
      <c r="AB52" s="7">
        <f>Q52/100</f>
        <v>4.1587500000000006E-2</v>
      </c>
      <c r="AD52" s="8"/>
      <c r="AF52" s="8"/>
      <c r="AG52" s="8"/>
    </row>
    <row r="53" spans="1:33" x14ac:dyDescent="0.2">
      <c r="A53" s="12">
        <v>7064</v>
      </c>
      <c r="B53" s="13" t="s">
        <v>45</v>
      </c>
      <c r="C53" s="13">
        <v>43404</v>
      </c>
      <c r="D53" s="5">
        <v>60</v>
      </c>
      <c r="E53" s="6" t="s">
        <v>73</v>
      </c>
      <c r="F53" s="5" t="s">
        <v>180</v>
      </c>
      <c r="G53" s="6" t="s">
        <v>181</v>
      </c>
      <c r="H53" s="5" t="str">
        <f>"000070"</f>
        <v>000070</v>
      </c>
      <c r="I53" s="4">
        <v>43341</v>
      </c>
      <c r="J53" s="5" t="str">
        <f>"000095"</f>
        <v>000095</v>
      </c>
      <c r="K53" s="4">
        <v>43341</v>
      </c>
      <c r="L53" s="5" t="str">
        <f>"000135"</f>
        <v>000135</v>
      </c>
      <c r="M53" s="4">
        <v>43349</v>
      </c>
      <c r="N53" s="5">
        <v>18</v>
      </c>
      <c r="O53" s="5" t="str">
        <f>"007129"</f>
        <v>007129</v>
      </c>
      <c r="P53" s="4">
        <v>43403</v>
      </c>
      <c r="Q53" s="7">
        <v>37.572000000000003</v>
      </c>
      <c r="R53" s="7">
        <v>3.7239200000000001</v>
      </c>
      <c r="S53" s="7">
        <v>33.848080000000003</v>
      </c>
      <c r="T53" s="5">
        <v>259</v>
      </c>
      <c r="U53" s="4">
        <v>43404</v>
      </c>
      <c r="V53" s="5">
        <v>9343733339</v>
      </c>
      <c r="W53" s="6" t="s">
        <v>61</v>
      </c>
      <c r="X53" s="5" t="s">
        <v>52</v>
      </c>
      <c r="Y53" s="6" t="s">
        <v>51</v>
      </c>
      <c r="Z53" s="5" t="s">
        <v>69</v>
      </c>
      <c r="AA53" s="6" t="s">
        <v>70</v>
      </c>
      <c r="AB53" s="7">
        <f>Q53/100</f>
        <v>0.37572000000000005</v>
      </c>
      <c r="AD53" s="8"/>
      <c r="AF53" s="8"/>
      <c r="AG53" s="8"/>
    </row>
    <row r="54" spans="1:33" x14ac:dyDescent="0.2">
      <c r="A54" s="12">
        <v>7065</v>
      </c>
      <c r="B54" s="13" t="s">
        <v>45</v>
      </c>
      <c r="C54" s="13">
        <v>43404</v>
      </c>
      <c r="D54" s="5">
        <v>60</v>
      </c>
      <c r="E54" s="6" t="s">
        <v>73</v>
      </c>
      <c r="F54" s="5" t="s">
        <v>182</v>
      </c>
      <c r="G54" s="6" t="s">
        <v>183</v>
      </c>
      <c r="H54" s="5" t="str">
        <f>"000041"</f>
        <v>000041</v>
      </c>
      <c r="I54" s="4">
        <v>43300</v>
      </c>
      <c r="J54" s="5" t="str">
        <f>"000064"</f>
        <v>000064</v>
      </c>
      <c r="K54" s="4">
        <v>43300</v>
      </c>
      <c r="L54" s="5" t="str">
        <f>"000087"</f>
        <v>000087</v>
      </c>
      <c r="M54" s="4">
        <v>43301</v>
      </c>
      <c r="N54" s="5">
        <v>18</v>
      </c>
      <c r="O54" s="5" t="str">
        <f>"007060"</f>
        <v>007060</v>
      </c>
      <c r="P54" s="4">
        <v>43400</v>
      </c>
      <c r="Q54" s="7">
        <v>14.676</v>
      </c>
      <c r="R54" s="7">
        <v>1.2914699999999999</v>
      </c>
      <c r="S54" s="7">
        <v>13.38453</v>
      </c>
      <c r="T54" s="5">
        <v>260</v>
      </c>
      <c r="U54" s="4">
        <v>43404</v>
      </c>
      <c r="V54" s="5">
        <v>9945568501</v>
      </c>
      <c r="W54" s="6" t="s">
        <v>62</v>
      </c>
      <c r="X54" s="5" t="s">
        <v>44</v>
      </c>
      <c r="Y54" s="6" t="s">
        <v>43</v>
      </c>
      <c r="Z54" s="5" t="s">
        <v>69</v>
      </c>
      <c r="AA54" s="6" t="s">
        <v>70</v>
      </c>
      <c r="AB54" s="7">
        <f>Q54/100</f>
        <v>0.14676</v>
      </c>
      <c r="AD54" s="8"/>
      <c r="AF54" s="8"/>
      <c r="AG54" s="8"/>
    </row>
    <row r="55" spans="1:33" x14ac:dyDescent="0.2">
      <c r="A55" s="12">
        <v>7212</v>
      </c>
      <c r="B55" s="13" t="s">
        <v>41</v>
      </c>
      <c r="C55" s="13">
        <v>43420</v>
      </c>
      <c r="D55" s="5">
        <v>60</v>
      </c>
      <c r="E55" s="6" t="s">
        <v>73</v>
      </c>
      <c r="F55" s="5" t="s">
        <v>184</v>
      </c>
      <c r="G55" s="6" t="s">
        <v>185</v>
      </c>
      <c r="H55" s="5" t="str">
        <f>"000041"</f>
        <v>000041</v>
      </c>
      <c r="I55" s="4">
        <v>43294</v>
      </c>
      <c r="J55" s="5" t="str">
        <f>"000100"</f>
        <v>000100</v>
      </c>
      <c r="K55" s="4">
        <v>43313</v>
      </c>
      <c r="L55" s="5" t="str">
        <f>"000099"</f>
        <v>000099</v>
      </c>
      <c r="M55" s="4">
        <v>43313</v>
      </c>
      <c r="N55" s="5">
        <v>18</v>
      </c>
      <c r="O55" s="5" t="str">
        <f>"007311"</f>
        <v>007311</v>
      </c>
      <c r="P55" s="4">
        <v>43417</v>
      </c>
      <c r="Q55" s="7">
        <v>9.9809199999999993</v>
      </c>
      <c r="R55" s="7">
        <v>1.05826</v>
      </c>
      <c r="S55" s="7">
        <v>8.9226600000000005</v>
      </c>
      <c r="T55" s="5">
        <v>265</v>
      </c>
      <c r="U55" s="4">
        <v>43420</v>
      </c>
      <c r="V55" s="5">
        <v>9945525730</v>
      </c>
      <c r="W55" s="6" t="s">
        <v>58</v>
      </c>
      <c r="X55" s="5" t="s">
        <v>60</v>
      </c>
      <c r="Y55" s="6" t="s">
        <v>59</v>
      </c>
      <c r="Z55" s="5" t="s">
        <v>65</v>
      </c>
      <c r="AA55" s="6" t="s">
        <v>66</v>
      </c>
      <c r="AB55" s="7">
        <f>Q55/100</f>
        <v>9.9809199999999987E-2</v>
      </c>
      <c r="AD55" s="8"/>
      <c r="AF55" s="8"/>
      <c r="AG55" s="8"/>
    </row>
    <row r="56" spans="1:33" x14ac:dyDescent="0.2">
      <c r="A56" s="12">
        <v>7213</v>
      </c>
      <c r="B56" s="13" t="s">
        <v>41</v>
      </c>
      <c r="C56" s="13">
        <v>43420</v>
      </c>
      <c r="D56" s="5">
        <v>60</v>
      </c>
      <c r="E56" s="6" t="s">
        <v>73</v>
      </c>
      <c r="F56" s="5" t="s">
        <v>186</v>
      </c>
      <c r="G56" s="6" t="s">
        <v>187</v>
      </c>
      <c r="H56" s="5" t="str">
        <f>"000004"</f>
        <v>000004</v>
      </c>
      <c r="I56" s="4">
        <v>42968</v>
      </c>
      <c r="J56" s="5" t="str">
        <f>"000097"</f>
        <v>000097</v>
      </c>
      <c r="K56" s="4">
        <v>43342</v>
      </c>
      <c r="L56" s="5" t="str">
        <f>"000131"</f>
        <v>000131</v>
      </c>
      <c r="M56" s="4">
        <v>43346</v>
      </c>
      <c r="N56" s="5">
        <v>17</v>
      </c>
      <c r="O56" s="5" t="str">
        <f>"007312"</f>
        <v>007312</v>
      </c>
      <c r="P56" s="4">
        <v>43417</v>
      </c>
      <c r="Q56" s="7">
        <v>4.0039999999999996</v>
      </c>
      <c r="R56" s="7">
        <v>8.43E-2</v>
      </c>
      <c r="S56" s="7">
        <v>3.9197000000000002</v>
      </c>
      <c r="T56" s="5">
        <v>265</v>
      </c>
      <c r="U56" s="4">
        <v>43420</v>
      </c>
      <c r="V56" s="5">
        <v>9945568501</v>
      </c>
      <c r="W56" s="6" t="s">
        <v>188</v>
      </c>
      <c r="X56" s="5" t="s">
        <v>39</v>
      </c>
      <c r="Y56" s="6" t="s">
        <v>40</v>
      </c>
      <c r="Z56" s="5" t="s">
        <v>69</v>
      </c>
      <c r="AA56" s="6" t="s">
        <v>70</v>
      </c>
      <c r="AB56" s="7">
        <f>Q56/100</f>
        <v>4.0039999999999992E-2</v>
      </c>
      <c r="AD56" s="8"/>
      <c r="AF56" s="8"/>
      <c r="AG56" s="8"/>
    </row>
    <row r="57" spans="1:33" x14ac:dyDescent="0.2">
      <c r="A57" s="12">
        <v>7214</v>
      </c>
      <c r="B57" s="13" t="s">
        <v>41</v>
      </c>
      <c r="C57" s="13">
        <v>43420</v>
      </c>
      <c r="D57" s="5">
        <v>60</v>
      </c>
      <c r="E57" s="6" t="s">
        <v>73</v>
      </c>
      <c r="F57" s="5" t="s">
        <v>189</v>
      </c>
      <c r="G57" s="6" t="s">
        <v>190</v>
      </c>
      <c r="H57" s="5" t="str">
        <f>"000113"</f>
        <v>000113</v>
      </c>
      <c r="I57" s="4">
        <v>43038</v>
      </c>
      <c r="J57" s="5" t="str">
        <f>"000102"</f>
        <v>000102</v>
      </c>
      <c r="K57" s="4">
        <v>43368</v>
      </c>
      <c r="L57" s="5" t="str">
        <f>"000151"</f>
        <v>000151</v>
      </c>
      <c r="M57" s="4">
        <v>43369</v>
      </c>
      <c r="N57" s="5">
        <v>17</v>
      </c>
      <c r="O57" s="5" t="str">
        <f>"007344"</f>
        <v>007344</v>
      </c>
      <c r="P57" s="4">
        <v>43418</v>
      </c>
      <c r="Q57" s="7">
        <v>10.942</v>
      </c>
      <c r="R57" s="7">
        <v>0.95931</v>
      </c>
      <c r="S57" s="7">
        <v>9.9826899999999998</v>
      </c>
      <c r="T57" s="5">
        <v>265</v>
      </c>
      <c r="U57" s="4">
        <v>43420</v>
      </c>
      <c r="V57" s="5">
        <v>9845568501</v>
      </c>
      <c r="W57" s="6" t="s">
        <v>62</v>
      </c>
      <c r="X57" s="5" t="s">
        <v>39</v>
      </c>
      <c r="Y57" s="6" t="s">
        <v>40</v>
      </c>
      <c r="Z57" s="5" t="s">
        <v>69</v>
      </c>
      <c r="AA57" s="6" t="s">
        <v>70</v>
      </c>
      <c r="AB57" s="7">
        <f>Q57/100</f>
        <v>0.10942</v>
      </c>
      <c r="AD57" s="8"/>
      <c r="AF57" s="8"/>
      <c r="AG57" s="8"/>
    </row>
    <row r="58" spans="1:33" x14ac:dyDescent="0.2">
      <c r="A58" s="12">
        <v>7215</v>
      </c>
      <c r="B58" s="13" t="s">
        <v>41</v>
      </c>
      <c r="C58" s="13">
        <v>43420</v>
      </c>
      <c r="D58" s="5">
        <v>60</v>
      </c>
      <c r="E58" s="6" t="s">
        <v>73</v>
      </c>
      <c r="F58" s="5" t="s">
        <v>191</v>
      </c>
      <c r="G58" s="6" t="s">
        <v>192</v>
      </c>
      <c r="H58" s="5" t="str">
        <f>"000261"</f>
        <v>000261</v>
      </c>
      <c r="I58" s="4">
        <v>42825</v>
      </c>
      <c r="J58" s="5" t="str">
        <f>"000001"</f>
        <v>000001</v>
      </c>
      <c r="K58" s="4">
        <v>42847</v>
      </c>
      <c r="L58" s="5" t="str">
        <f>"000003"</f>
        <v>000003</v>
      </c>
      <c r="M58" s="4">
        <v>42849</v>
      </c>
      <c r="N58" s="5">
        <v>16</v>
      </c>
      <c r="O58" s="5" t="str">
        <f>"007274"</f>
        <v>007274</v>
      </c>
      <c r="P58" s="4">
        <v>43407</v>
      </c>
      <c r="Q58" s="7">
        <v>9.8926999999999996</v>
      </c>
      <c r="R58" s="7">
        <v>1.24281</v>
      </c>
      <c r="S58" s="7">
        <v>8.6498899999999992</v>
      </c>
      <c r="T58" s="5">
        <v>266</v>
      </c>
      <c r="U58" s="4">
        <v>43420</v>
      </c>
      <c r="V58" s="5">
        <v>9945568501</v>
      </c>
      <c r="W58" s="6" t="s">
        <v>55</v>
      </c>
      <c r="X58" s="5" t="s">
        <v>57</v>
      </c>
      <c r="Y58" s="6" t="s">
        <v>56</v>
      </c>
      <c r="Z58" s="5" t="s">
        <v>69</v>
      </c>
      <c r="AA58" s="6" t="s">
        <v>70</v>
      </c>
      <c r="AB58" s="7">
        <f>Q58/100</f>
        <v>9.8927000000000001E-2</v>
      </c>
      <c r="AD58" s="8"/>
      <c r="AF58" s="8"/>
      <c r="AG58" s="8"/>
    </row>
    <row r="59" spans="1:33" x14ac:dyDescent="0.2">
      <c r="A59" s="12">
        <v>7503</v>
      </c>
      <c r="B59" s="13" t="s">
        <v>42</v>
      </c>
      <c r="C59" s="13">
        <v>43437</v>
      </c>
      <c r="D59" s="5">
        <v>60</v>
      </c>
      <c r="E59" s="6" t="s">
        <v>73</v>
      </c>
      <c r="F59" s="5" t="s">
        <v>193</v>
      </c>
      <c r="G59" s="6" t="s">
        <v>194</v>
      </c>
      <c r="H59" s="5" t="str">
        <f>"000267"</f>
        <v>000267</v>
      </c>
      <c r="I59" s="4">
        <v>42825</v>
      </c>
      <c r="J59" s="5" t="str">
        <f>"000055"</f>
        <v>000055</v>
      </c>
      <c r="K59" s="4">
        <v>42886</v>
      </c>
      <c r="L59" s="5" t="str">
        <f>"000074"</f>
        <v>000074</v>
      </c>
      <c r="M59" s="4">
        <v>42886</v>
      </c>
      <c r="N59" s="5">
        <v>17</v>
      </c>
      <c r="O59" s="5" t="str">
        <f>"007441"</f>
        <v>007441</v>
      </c>
      <c r="P59" s="4">
        <v>43421</v>
      </c>
      <c r="Q59" s="7">
        <v>14.63537</v>
      </c>
      <c r="R59" s="7">
        <v>1.02664</v>
      </c>
      <c r="S59" s="7">
        <v>13.60873</v>
      </c>
      <c r="T59" s="5">
        <v>279</v>
      </c>
      <c r="U59" s="4">
        <v>43437</v>
      </c>
      <c r="V59" s="5">
        <v>9845028772</v>
      </c>
      <c r="W59" s="6" t="s">
        <v>195</v>
      </c>
      <c r="X59" s="5" t="s">
        <v>31</v>
      </c>
      <c r="Y59" s="6" t="s">
        <v>32</v>
      </c>
      <c r="Z59" s="5" t="s">
        <v>69</v>
      </c>
      <c r="AA59" s="6" t="s">
        <v>70</v>
      </c>
      <c r="AB59" s="7">
        <f>Q59/100</f>
        <v>0.1463537</v>
      </c>
      <c r="AD59" s="8"/>
      <c r="AF59" s="8"/>
      <c r="AG59" s="8"/>
    </row>
    <row r="60" spans="1:33" x14ac:dyDescent="0.2">
      <c r="A60" s="12">
        <v>7504</v>
      </c>
      <c r="B60" s="13" t="s">
        <v>42</v>
      </c>
      <c r="C60" s="13">
        <v>43437</v>
      </c>
      <c r="D60" s="5">
        <v>60</v>
      </c>
      <c r="E60" s="6" t="s">
        <v>73</v>
      </c>
      <c r="F60" s="5" t="s">
        <v>196</v>
      </c>
      <c r="G60" s="6" t="s">
        <v>197</v>
      </c>
      <c r="H60" s="5" t="str">
        <f>"000265"</f>
        <v>000265</v>
      </c>
      <c r="I60" s="4">
        <v>42825</v>
      </c>
      <c r="J60" s="5" t="str">
        <f>"000054"</f>
        <v>000054</v>
      </c>
      <c r="K60" s="4">
        <v>42886</v>
      </c>
      <c r="L60" s="5" t="str">
        <f>"000075"</f>
        <v>000075</v>
      </c>
      <c r="M60" s="4">
        <v>42886</v>
      </c>
      <c r="N60" s="5">
        <v>17</v>
      </c>
      <c r="O60" s="5" t="str">
        <f>"007442"</f>
        <v>007442</v>
      </c>
      <c r="P60" s="4">
        <v>43421</v>
      </c>
      <c r="Q60" s="7">
        <v>19.532419999999998</v>
      </c>
      <c r="R60" s="7">
        <v>1.3871500000000001</v>
      </c>
      <c r="S60" s="7">
        <v>18.14527</v>
      </c>
      <c r="T60" s="5">
        <v>279</v>
      </c>
      <c r="U60" s="4">
        <v>43437</v>
      </c>
      <c r="V60" s="5">
        <v>9845028772</v>
      </c>
      <c r="W60" s="6" t="s">
        <v>195</v>
      </c>
      <c r="X60" s="5" t="s">
        <v>31</v>
      </c>
      <c r="Y60" s="6" t="s">
        <v>32</v>
      </c>
      <c r="Z60" s="5" t="s">
        <v>69</v>
      </c>
      <c r="AA60" s="6" t="s">
        <v>70</v>
      </c>
      <c r="AB60" s="7">
        <f>Q60/100</f>
        <v>0.19532419999999998</v>
      </c>
      <c r="AD60" s="8"/>
      <c r="AF60" s="8"/>
      <c r="AG60" s="8"/>
    </row>
    <row r="61" spans="1:33" x14ac:dyDescent="0.2">
      <c r="A61" s="12">
        <v>7725</v>
      </c>
      <c r="B61" s="13" t="s">
        <v>42</v>
      </c>
      <c r="C61" s="13">
        <v>43448</v>
      </c>
      <c r="D61" s="5">
        <v>60</v>
      </c>
      <c r="E61" s="6" t="s">
        <v>73</v>
      </c>
      <c r="F61" s="5" t="s">
        <v>198</v>
      </c>
      <c r="G61" s="6" t="s">
        <v>199</v>
      </c>
      <c r="H61" s="5" t="str">
        <f>"000141"</f>
        <v>000141</v>
      </c>
      <c r="I61" s="4">
        <v>42632</v>
      </c>
      <c r="J61" s="5" t="str">
        <f>"000176"</f>
        <v>000176</v>
      </c>
      <c r="K61" s="4">
        <v>42745</v>
      </c>
      <c r="L61" s="5" t="str">
        <f>"000368"</f>
        <v>000368</v>
      </c>
      <c r="M61" s="4">
        <v>42755</v>
      </c>
      <c r="N61" s="5">
        <v>16</v>
      </c>
      <c r="O61" s="5" t="str">
        <f>"007837"</f>
        <v>007837</v>
      </c>
      <c r="P61" s="4">
        <v>43444</v>
      </c>
      <c r="Q61" s="7">
        <v>4.9336900000000004</v>
      </c>
      <c r="R61" s="7">
        <v>0.31858999999999998</v>
      </c>
      <c r="S61" s="7">
        <v>4.6151</v>
      </c>
      <c r="T61" s="5">
        <v>291</v>
      </c>
      <c r="U61" s="4">
        <v>43448</v>
      </c>
      <c r="V61" s="5">
        <v>9035660123</v>
      </c>
      <c r="W61" s="6" t="s">
        <v>200</v>
      </c>
      <c r="X61" s="5" t="s">
        <v>31</v>
      </c>
      <c r="Y61" s="6" t="s">
        <v>32</v>
      </c>
      <c r="Z61" s="5" t="s">
        <v>69</v>
      </c>
      <c r="AA61" s="6" t="s">
        <v>70</v>
      </c>
      <c r="AB61" s="7">
        <f>Q61/100</f>
        <v>4.9336900000000003E-2</v>
      </c>
      <c r="AD61" s="8"/>
      <c r="AF61" s="8"/>
      <c r="AG61" s="8"/>
    </row>
    <row r="62" spans="1:33" x14ac:dyDescent="0.2">
      <c r="A62" s="12">
        <v>7859</v>
      </c>
      <c r="B62" s="13" t="s">
        <v>42</v>
      </c>
      <c r="C62" s="13">
        <v>43453</v>
      </c>
      <c r="D62" s="5">
        <v>60</v>
      </c>
      <c r="E62" s="6" t="s">
        <v>73</v>
      </c>
      <c r="F62" s="5" t="s">
        <v>109</v>
      </c>
      <c r="G62" s="6" t="s">
        <v>110</v>
      </c>
      <c r="H62" s="5" t="str">
        <f>"000155"</f>
        <v>000155</v>
      </c>
      <c r="I62" s="4">
        <v>43074</v>
      </c>
      <c r="J62" s="5" t="str">
        <f>"000122"</f>
        <v>000122</v>
      </c>
      <c r="K62" s="4">
        <v>43421</v>
      </c>
      <c r="L62" s="5" t="str">
        <f>"000204"</f>
        <v>000204</v>
      </c>
      <c r="M62" s="4">
        <v>43423</v>
      </c>
      <c r="N62" s="5">
        <v>17</v>
      </c>
      <c r="O62" s="5" t="str">
        <f>"008057"</f>
        <v>008057</v>
      </c>
      <c r="P62" s="4">
        <v>43451</v>
      </c>
      <c r="Q62" s="7">
        <v>15.488799999999999</v>
      </c>
      <c r="R62" s="7">
        <v>0.83115000000000006</v>
      </c>
      <c r="S62" s="7">
        <v>14.65765</v>
      </c>
      <c r="T62" s="5">
        <v>296</v>
      </c>
      <c r="U62" s="4">
        <v>43453</v>
      </c>
      <c r="V62" s="5">
        <v>9945568501</v>
      </c>
      <c r="W62" s="6" t="s">
        <v>62</v>
      </c>
      <c r="X62" s="5" t="s">
        <v>39</v>
      </c>
      <c r="Y62" s="6" t="s">
        <v>40</v>
      </c>
      <c r="Z62" s="5" t="s">
        <v>69</v>
      </c>
      <c r="AA62" s="6" t="s">
        <v>70</v>
      </c>
      <c r="AB62" s="7">
        <f>Q62/100</f>
        <v>0.154888</v>
      </c>
      <c r="AD62" s="8"/>
      <c r="AF62" s="8"/>
      <c r="AG62" s="8"/>
    </row>
    <row r="63" spans="1:33" x14ac:dyDescent="0.2">
      <c r="A63" s="12">
        <v>7860</v>
      </c>
      <c r="B63" s="13" t="s">
        <v>42</v>
      </c>
      <c r="C63" s="13">
        <v>43453</v>
      </c>
      <c r="D63" s="5">
        <v>60</v>
      </c>
      <c r="E63" s="6" t="s">
        <v>73</v>
      </c>
      <c r="F63" s="5" t="s">
        <v>201</v>
      </c>
      <c r="G63" s="6" t="s">
        <v>202</v>
      </c>
      <c r="H63" s="5" t="str">
        <f>"000228"</f>
        <v>000228</v>
      </c>
      <c r="I63" s="4">
        <v>43158</v>
      </c>
      <c r="J63" s="5" t="str">
        <f>"000092"</f>
        <v>000092</v>
      </c>
      <c r="K63" s="4">
        <v>43340</v>
      </c>
      <c r="L63" s="5" t="str">
        <f>"000129"</f>
        <v>000129</v>
      </c>
      <c r="M63" s="4">
        <v>43342</v>
      </c>
      <c r="N63" s="5">
        <v>18</v>
      </c>
      <c r="O63" s="5" t="str">
        <f>"007887"</f>
        <v>007887</v>
      </c>
      <c r="P63" s="4">
        <v>43445</v>
      </c>
      <c r="Q63" s="7">
        <v>24.91649</v>
      </c>
      <c r="R63" s="7">
        <v>2.1070000000000002</v>
      </c>
      <c r="S63" s="7">
        <v>22.80949</v>
      </c>
      <c r="T63" s="5">
        <v>297</v>
      </c>
      <c r="U63" s="4">
        <v>43453</v>
      </c>
      <c r="V63" s="5">
        <v>9945568501</v>
      </c>
      <c r="W63" s="6" t="s">
        <v>62</v>
      </c>
      <c r="X63" s="5" t="s">
        <v>52</v>
      </c>
      <c r="Y63" s="6" t="s">
        <v>51</v>
      </c>
      <c r="Z63" s="5" t="s">
        <v>69</v>
      </c>
      <c r="AA63" s="6" t="s">
        <v>70</v>
      </c>
      <c r="AB63" s="7">
        <f>Q63/100</f>
        <v>0.24916489999999999</v>
      </c>
      <c r="AD63" s="8"/>
      <c r="AF63" s="8"/>
      <c r="AG63" s="8"/>
    </row>
    <row r="64" spans="1:33" x14ac:dyDescent="0.2">
      <c r="A64" s="12">
        <v>7986</v>
      </c>
      <c r="B64" s="13" t="s">
        <v>42</v>
      </c>
      <c r="C64" s="13">
        <v>43455</v>
      </c>
      <c r="D64" s="5">
        <v>60</v>
      </c>
      <c r="E64" s="6" t="s">
        <v>73</v>
      </c>
      <c r="F64" s="5" t="s">
        <v>203</v>
      </c>
      <c r="G64" s="6" t="s">
        <v>204</v>
      </c>
      <c r="H64" s="5" t="str">
        <f>"000O37"</f>
        <v>000O37</v>
      </c>
      <c r="I64" s="4">
        <v>42851</v>
      </c>
      <c r="J64" s="5" t="str">
        <f>"000086"</f>
        <v>000086</v>
      </c>
      <c r="K64" s="4">
        <v>42886</v>
      </c>
      <c r="L64" s="5" t="str">
        <f>"000115"</f>
        <v>000115</v>
      </c>
      <c r="M64" s="4">
        <v>42886</v>
      </c>
      <c r="N64" s="5">
        <v>17</v>
      </c>
      <c r="O64" s="5" t="str">
        <f>"007728"</f>
        <v>007728</v>
      </c>
      <c r="P64" s="4">
        <v>43441</v>
      </c>
      <c r="Q64" s="7">
        <v>19.347359999999998</v>
      </c>
      <c r="R64" s="7">
        <v>1.2420899999999999</v>
      </c>
      <c r="S64" s="7">
        <v>18.105270000000001</v>
      </c>
      <c r="T64" s="5">
        <v>301</v>
      </c>
      <c r="U64" s="4">
        <v>43455</v>
      </c>
      <c r="V64" s="5">
        <v>9945568501</v>
      </c>
      <c r="W64" s="6" t="s">
        <v>188</v>
      </c>
      <c r="X64" s="5" t="s">
        <v>31</v>
      </c>
      <c r="Y64" s="6" t="s">
        <v>32</v>
      </c>
      <c r="Z64" s="5" t="s">
        <v>69</v>
      </c>
      <c r="AA64" s="6" t="s">
        <v>70</v>
      </c>
      <c r="AB64" s="7">
        <f>Q64/100</f>
        <v>0.1934736</v>
      </c>
      <c r="AD64" s="8"/>
      <c r="AF64" s="8"/>
      <c r="AG64" s="8"/>
    </row>
    <row r="65" spans="1:33" x14ac:dyDescent="0.2">
      <c r="A65" s="12">
        <v>7987</v>
      </c>
      <c r="B65" s="13" t="s">
        <v>42</v>
      </c>
      <c r="C65" s="13">
        <v>43455</v>
      </c>
      <c r="D65" s="5">
        <v>60</v>
      </c>
      <c r="E65" s="6" t="s">
        <v>73</v>
      </c>
      <c r="F65" s="5" t="s">
        <v>205</v>
      </c>
      <c r="G65" s="6" t="s">
        <v>206</v>
      </c>
      <c r="H65" s="5" t="str">
        <f>"000036"</f>
        <v>000036</v>
      </c>
      <c r="I65" s="4">
        <v>42851</v>
      </c>
      <c r="J65" s="5" t="str">
        <f>"000085"</f>
        <v>000085</v>
      </c>
      <c r="K65" s="4">
        <v>42886</v>
      </c>
      <c r="L65" s="5" t="str">
        <f>"000116"</f>
        <v>000116</v>
      </c>
      <c r="M65" s="4">
        <v>42886</v>
      </c>
      <c r="N65" s="5">
        <v>16</v>
      </c>
      <c r="O65" s="5" t="str">
        <f>"007729"</f>
        <v>007729</v>
      </c>
      <c r="P65" s="4">
        <v>43441</v>
      </c>
      <c r="Q65" s="7">
        <v>19.68085</v>
      </c>
      <c r="R65" s="7">
        <v>1.321</v>
      </c>
      <c r="S65" s="7">
        <v>18.359850000000002</v>
      </c>
      <c r="T65" s="5">
        <v>301</v>
      </c>
      <c r="U65" s="4">
        <v>43455</v>
      </c>
      <c r="V65" s="5">
        <v>9945568501</v>
      </c>
      <c r="W65" s="6" t="s">
        <v>188</v>
      </c>
      <c r="X65" s="5" t="s">
        <v>31</v>
      </c>
      <c r="Y65" s="6" t="s">
        <v>32</v>
      </c>
      <c r="Z65" s="5" t="s">
        <v>69</v>
      </c>
      <c r="AA65" s="6" t="s">
        <v>70</v>
      </c>
      <c r="AB65" s="7">
        <f>Q65/100</f>
        <v>0.1968085</v>
      </c>
      <c r="AD65" s="8"/>
      <c r="AF65" s="8"/>
      <c r="AG65" s="8"/>
    </row>
    <row r="66" spans="1:33" x14ac:dyDescent="0.2">
      <c r="A66" s="12">
        <v>7988</v>
      </c>
      <c r="B66" s="13" t="s">
        <v>42</v>
      </c>
      <c r="C66" s="13">
        <v>43455</v>
      </c>
      <c r="D66" s="5">
        <v>60</v>
      </c>
      <c r="E66" s="6" t="s">
        <v>73</v>
      </c>
      <c r="F66" s="5" t="s">
        <v>207</v>
      </c>
      <c r="G66" s="6" t="s">
        <v>208</v>
      </c>
      <c r="H66" s="5" t="str">
        <f>"000145"</f>
        <v>000145</v>
      </c>
      <c r="I66" s="4">
        <v>42632</v>
      </c>
      <c r="J66" s="5" t="str">
        <f>"000091"</f>
        <v>000091</v>
      </c>
      <c r="K66" s="4">
        <v>42886</v>
      </c>
      <c r="L66" s="5" t="str">
        <f>"000119"</f>
        <v>000119</v>
      </c>
      <c r="M66" s="4">
        <v>42886</v>
      </c>
      <c r="N66" s="5">
        <v>16</v>
      </c>
      <c r="O66" s="5" t="str">
        <f>"007730"</f>
        <v>007730</v>
      </c>
      <c r="P66" s="4">
        <v>43441</v>
      </c>
      <c r="Q66" s="7">
        <v>14.78486</v>
      </c>
      <c r="R66" s="7">
        <v>0.95960000000000001</v>
      </c>
      <c r="S66" s="7">
        <v>13.82526</v>
      </c>
      <c r="T66" s="5">
        <v>301</v>
      </c>
      <c r="U66" s="4">
        <v>43455</v>
      </c>
      <c r="V66" s="5">
        <v>9740744655</v>
      </c>
      <c r="W66" s="6" t="s">
        <v>209</v>
      </c>
      <c r="X66" s="5" t="s">
        <v>31</v>
      </c>
      <c r="Y66" s="6" t="s">
        <v>32</v>
      </c>
      <c r="Z66" s="5" t="s">
        <v>69</v>
      </c>
      <c r="AA66" s="6" t="s">
        <v>70</v>
      </c>
      <c r="AB66" s="7">
        <f>Q66/100</f>
        <v>0.1478486</v>
      </c>
      <c r="AD66" s="8"/>
      <c r="AF66" s="8"/>
      <c r="AG66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2019-01-14T13:57:06Z</dcterms:modified>
</cp:coreProperties>
</file>