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91" i="1" l="1"/>
  <c r="O91" i="1"/>
  <c r="L91" i="1"/>
  <c r="J91" i="1"/>
  <c r="H91" i="1"/>
  <c r="AB90" i="1"/>
  <c r="O90" i="1"/>
  <c r="L90" i="1"/>
  <c r="J90" i="1"/>
  <c r="H90" i="1"/>
  <c r="AB89" i="1"/>
  <c r="O89" i="1"/>
  <c r="L89" i="1"/>
  <c r="J89" i="1"/>
  <c r="H89" i="1"/>
  <c r="AB88" i="1"/>
  <c r="O88" i="1"/>
  <c r="L88" i="1"/>
  <c r="J88" i="1"/>
  <c r="H88" i="1"/>
  <c r="AB87" i="1"/>
  <c r="O87" i="1"/>
  <c r="L87" i="1"/>
  <c r="J87" i="1"/>
  <c r="H87" i="1"/>
  <c r="AB86" i="1"/>
  <c r="O86" i="1"/>
  <c r="L86" i="1"/>
  <c r="J86" i="1"/>
  <c r="H86" i="1"/>
  <c r="AB85" i="1"/>
  <c r="O85" i="1"/>
  <c r="L85" i="1"/>
  <c r="J85" i="1"/>
  <c r="H85" i="1"/>
  <c r="AB84" i="1"/>
  <c r="O84" i="1"/>
  <c r="L84" i="1"/>
  <c r="J84" i="1"/>
  <c r="H84" i="1"/>
  <c r="AB83" i="1"/>
  <c r="O83" i="1"/>
  <c r="L83" i="1"/>
  <c r="J83" i="1"/>
  <c r="H83" i="1"/>
  <c r="AB82" i="1"/>
  <c r="O82" i="1"/>
  <c r="L82" i="1"/>
  <c r="J82" i="1"/>
  <c r="H82" i="1"/>
  <c r="AB81" i="1"/>
  <c r="O81" i="1"/>
  <c r="L81" i="1"/>
  <c r="J81" i="1"/>
  <c r="H81" i="1"/>
  <c r="AB80" i="1"/>
  <c r="O80" i="1"/>
  <c r="L80" i="1"/>
  <c r="J80" i="1"/>
  <c r="H80" i="1"/>
  <c r="AB79" i="1"/>
  <c r="O79" i="1"/>
  <c r="L79" i="1"/>
  <c r="J79" i="1"/>
  <c r="H79" i="1"/>
  <c r="AB78" i="1"/>
  <c r="O78" i="1"/>
  <c r="L78" i="1"/>
  <c r="J78" i="1"/>
  <c r="H78" i="1"/>
  <c r="AB77" i="1"/>
  <c r="O77" i="1"/>
  <c r="L77" i="1"/>
  <c r="J77" i="1"/>
  <c r="H77" i="1"/>
  <c r="AB76" i="1"/>
  <c r="O76" i="1"/>
  <c r="L76" i="1"/>
  <c r="J76" i="1"/>
  <c r="H76" i="1"/>
  <c r="AB75" i="1"/>
  <c r="O75" i="1"/>
  <c r="L75" i="1"/>
  <c r="J75" i="1"/>
  <c r="H75" i="1"/>
  <c r="AB74" i="1"/>
  <c r="O74" i="1"/>
  <c r="L74" i="1"/>
  <c r="J74" i="1"/>
  <c r="H74" i="1"/>
  <c r="AB73" i="1"/>
  <c r="O73" i="1"/>
  <c r="L73" i="1"/>
  <c r="J73" i="1"/>
  <c r="H73" i="1"/>
  <c r="AB72" i="1"/>
  <c r="O72" i="1"/>
  <c r="L72" i="1"/>
  <c r="J72" i="1"/>
  <c r="H72" i="1"/>
  <c r="AB71" i="1"/>
  <c r="O71" i="1"/>
  <c r="L71" i="1"/>
  <c r="J71" i="1"/>
  <c r="H71" i="1"/>
  <c r="AB70" i="1"/>
  <c r="O70" i="1"/>
  <c r="L70" i="1"/>
  <c r="J70" i="1"/>
  <c r="H70" i="1"/>
  <c r="AB69" i="1"/>
  <c r="O69" i="1"/>
  <c r="L69" i="1"/>
  <c r="J69" i="1"/>
  <c r="H69" i="1"/>
  <c r="AB68" i="1"/>
  <c r="O68" i="1"/>
  <c r="L68" i="1"/>
  <c r="J68" i="1"/>
  <c r="H68" i="1"/>
  <c r="AB67" i="1"/>
  <c r="O67" i="1"/>
  <c r="L67" i="1"/>
  <c r="J67" i="1"/>
  <c r="H67" i="1"/>
  <c r="AB66" i="1"/>
  <c r="O66" i="1"/>
  <c r="L66" i="1"/>
  <c r="J66" i="1"/>
  <c r="H66" i="1"/>
  <c r="AB65" i="1"/>
  <c r="O65" i="1"/>
  <c r="L65" i="1"/>
  <c r="J65" i="1"/>
  <c r="H65" i="1"/>
  <c r="AB64" i="1"/>
  <c r="O64" i="1"/>
  <c r="L64" i="1"/>
  <c r="J64" i="1"/>
  <c r="H64" i="1"/>
  <c r="AB63" i="1"/>
  <c r="O63" i="1"/>
  <c r="L63" i="1"/>
  <c r="J63" i="1"/>
  <c r="H63" i="1"/>
  <c r="AB62" i="1"/>
  <c r="O62" i="1"/>
  <c r="L62" i="1"/>
  <c r="J62" i="1"/>
  <c r="H62" i="1"/>
  <c r="AB61" i="1"/>
  <c r="O61" i="1"/>
  <c r="L61" i="1"/>
  <c r="J61" i="1"/>
  <c r="H61" i="1"/>
  <c r="AB60" i="1"/>
  <c r="O60" i="1"/>
  <c r="L60" i="1"/>
  <c r="J60" i="1"/>
  <c r="H60" i="1"/>
  <c r="AB59" i="1"/>
  <c r="O59" i="1"/>
  <c r="L59" i="1"/>
  <c r="J59" i="1"/>
  <c r="H59" i="1"/>
  <c r="AB58" i="1"/>
  <c r="O58" i="1"/>
  <c r="L58" i="1"/>
  <c r="J58" i="1"/>
  <c r="H58" i="1"/>
  <c r="AB57" i="1"/>
  <c r="O57" i="1"/>
  <c r="L57" i="1"/>
  <c r="J57" i="1"/>
  <c r="H57" i="1"/>
  <c r="AB56" i="1"/>
  <c r="O56" i="1"/>
  <c r="L56" i="1"/>
  <c r="J56" i="1"/>
  <c r="H56" i="1"/>
  <c r="AB55" i="1"/>
  <c r="O55" i="1"/>
  <c r="L55" i="1"/>
  <c r="J55" i="1"/>
  <c r="H55" i="1"/>
  <c r="O54" i="1"/>
  <c r="L54" i="1"/>
  <c r="J54" i="1"/>
  <c r="H54" i="1"/>
  <c r="O53" i="1"/>
  <c r="L53" i="1"/>
  <c r="J53" i="1"/>
  <c r="H53" i="1"/>
  <c r="O52" i="1"/>
  <c r="L52" i="1"/>
  <c r="J52" i="1"/>
  <c r="H52" i="1"/>
  <c r="O51" i="1"/>
  <c r="L51" i="1"/>
  <c r="J51" i="1"/>
  <c r="H51" i="1"/>
  <c r="O50" i="1"/>
  <c r="L50" i="1"/>
  <c r="J50" i="1"/>
  <c r="H50" i="1"/>
  <c r="O49" i="1"/>
  <c r="L49" i="1"/>
  <c r="J49" i="1"/>
  <c r="H49" i="1"/>
  <c r="O48" i="1"/>
  <c r="L48" i="1"/>
  <c r="J48" i="1"/>
  <c r="H48" i="1"/>
  <c r="O47" i="1"/>
  <c r="L47" i="1"/>
  <c r="J47" i="1"/>
  <c r="H47" i="1"/>
  <c r="O46" i="1"/>
  <c r="L46" i="1"/>
  <c r="J46" i="1"/>
  <c r="H46" i="1"/>
  <c r="O45" i="1"/>
  <c r="L45" i="1"/>
  <c r="J45" i="1"/>
  <c r="H45" i="1"/>
  <c r="O44" i="1"/>
  <c r="L44" i="1"/>
  <c r="J44" i="1"/>
  <c r="H44" i="1"/>
  <c r="O43" i="1"/>
  <c r="L43" i="1"/>
  <c r="J43" i="1"/>
  <c r="H43" i="1"/>
  <c r="O42" i="1"/>
  <c r="L42" i="1"/>
  <c r="J42" i="1"/>
  <c r="H42" i="1"/>
  <c r="O41" i="1"/>
  <c r="L41" i="1"/>
  <c r="J41" i="1"/>
  <c r="H41" i="1"/>
  <c r="O40" i="1"/>
  <c r="L40" i="1"/>
  <c r="J40" i="1"/>
  <c r="H40" i="1"/>
  <c r="O39" i="1"/>
  <c r="L39" i="1"/>
  <c r="J39" i="1"/>
  <c r="H39" i="1"/>
  <c r="O38" i="1"/>
  <c r="L38" i="1"/>
  <c r="J38" i="1"/>
  <c r="H38" i="1"/>
  <c r="O37" i="1"/>
  <c r="L37" i="1"/>
  <c r="J37" i="1"/>
  <c r="H37" i="1"/>
  <c r="O36" i="1"/>
  <c r="L36" i="1"/>
  <c r="J36" i="1"/>
  <c r="H36" i="1"/>
  <c r="O35" i="1"/>
  <c r="L35" i="1"/>
  <c r="J35" i="1"/>
  <c r="H35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<sst xmlns="http://schemas.openxmlformats.org/spreadsheetml/2006/main" count="838" uniqueCount="282">
  <si>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</si>
  <si>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</si>
  <si>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</si>
  <si>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</si>
  <si>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</si>
  <si>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</si>
  <si>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</si>
  <si>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</si>
  <si>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</si>
  <si>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</si>
  <si>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</si>
  <si>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</si>
  <si>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</si>
  <si>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</si>
  <si>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</si>
  <si>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</si>
  <si>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</si>
  <si>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</si>
  <si>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</si>
  <si>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</si>
  <si>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</si>
  <si>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</si>
  <si>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</si>
  <si>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</si>
  <si>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</si>
  <si>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</si>
  <si>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</si>
  <si>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</si>
  <si>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</si>
  <si>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</si>
  <si>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</si>
  <si>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</si>
  <si>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</si>
  <si>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</si>
  <si>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</si>
  <si>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</si>
  <si>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</si>
  <si>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</si>
  <si>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</si>
  <si>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November</t>
  </si>
  <si>
    <t>December</t>
  </si>
  <si>
    <t>Nagarothana Works</t>
  </si>
  <si>
    <t>P3106</t>
  </si>
  <si>
    <t>October</t>
  </si>
  <si>
    <t xml:space="preserve"> Assistant Executive Engineer Electrical West Zone</t>
  </si>
  <si>
    <t>ddo209</t>
  </si>
  <si>
    <t>The Technical Manager</t>
  </si>
  <si>
    <t>State Finance Commission Untied Grant Works</t>
  </si>
  <si>
    <t>P3111</t>
  </si>
  <si>
    <t>April</t>
  </si>
  <si>
    <t>18per - Works (Bhagyajyothi, Sooru / Neeru Yojane and General) (54 Lakhs / New Wards)</t>
  </si>
  <si>
    <t>P1878</t>
  </si>
  <si>
    <t>Water Supply New Areas</t>
  </si>
  <si>
    <t>P1802</t>
  </si>
  <si>
    <t>KRIDL</t>
  </si>
  <si>
    <t>Special comprehensive development works in Bangalore city (Bangalore city in charge Minister Discretionary Grants)</t>
  </si>
  <si>
    <t>P3075</t>
  </si>
  <si>
    <t>Works sanctioned by Hon Mayor</t>
  </si>
  <si>
    <t>P0190</t>
  </si>
  <si>
    <t>Reserve fund for TandF Committee</t>
  </si>
  <si>
    <t>P2415</t>
  </si>
  <si>
    <t>Executive Engineer, KRIDL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</si>
  <si>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</si>
  <si>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</si>
  <si>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</si>
  <si>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</si>
  <si>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</si>
  <si>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</si>
  <si>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Drinking Water</t>
  </si>
  <si>
    <t>P3293</t>
  </si>
  <si>
    <t>14th Finance Commission Grants - SWD Works</t>
  </si>
  <si>
    <t>P3297</t>
  </si>
  <si>
    <t>P2201</t>
  </si>
  <si>
    <t>Assembly Constituency Development Works under BBMP</t>
  </si>
  <si>
    <t>kridl</t>
  </si>
  <si>
    <t>ddo326</t>
  </si>
  <si>
    <t xml:space="preserve"> Executive Engineer SWM 1 Central Zone</t>
  </si>
  <si>
    <t xml:space="preserve">M/s KRIDL </t>
  </si>
  <si>
    <t>M/s KRIDL</t>
  </si>
  <si>
    <t>P2178</t>
  </si>
  <si>
    <t>Works sanctioned by Dy. Mayor</t>
  </si>
  <si>
    <t>B.R.Puttaswamy</t>
  </si>
  <si>
    <t>Ganga Enterprises</t>
  </si>
  <si>
    <t>P2434</t>
  </si>
  <si>
    <t>Development works for Bangalore City</t>
  </si>
  <si>
    <t>Nagapura</t>
  </si>
  <si>
    <t>067-17-000081</t>
  </si>
  <si>
    <t>Development of Secondary drains Territary drains at Ward No 67 Nagapura</t>
  </si>
  <si>
    <t>ddo200</t>
  </si>
  <si>
    <t xml:space="preserve"> Assistant Executive Engineer Nagapura West Zone</t>
  </si>
  <si>
    <t>067-15-000028</t>
  </si>
  <si>
    <t>Improvement to Udayakumar Park in Kethamaranahalli in ward no 67</t>
  </si>
  <si>
    <t>Naveen.K.</t>
  </si>
  <si>
    <t>067-18-000020</t>
  </si>
  <si>
    <t>Construction of RCC Culverts and other improvement works at bhovipalya limit in Ward no 67</t>
  </si>
  <si>
    <t>067-14-000019</t>
  </si>
  <si>
    <t>Yearly ward maintenance 1st Shift in ward No.67 (6.00 A.M to 2.00 P.M )</t>
  </si>
  <si>
    <t>067-15-000051</t>
  </si>
  <si>
    <t>Providing flooring tiles to Niveditha Sabhanganna at Siddarudha Park Between 3rd and 2nd main in Nagapura ward no 67</t>
  </si>
  <si>
    <t xml:space="preserve">Sukesh J K </t>
  </si>
  <si>
    <t>067-14-000007</t>
  </si>
  <si>
    <t>Emergency works in ward No. 67</t>
  </si>
  <si>
    <t>V.Dhananjaya</t>
  </si>
  <si>
    <t>067-15-000029</t>
  </si>
  <si>
    <t xml:space="preserve">Providing chain link fencing to Buddashanti vana Park in ward no 67 </t>
  </si>
  <si>
    <t>067-15-000030</t>
  </si>
  <si>
    <t xml:space="preserve">Providing shelter to Siddaruda Park in ward no 67 </t>
  </si>
  <si>
    <t>067-15-000027</t>
  </si>
  <si>
    <t>Providing Shelter to pathway in Vishweshwaraiah Park in ward no 67</t>
  </si>
  <si>
    <t>067-15-000025</t>
  </si>
  <si>
    <t>Improvement to Bhagyajyothi Park in ward no 67</t>
  </si>
  <si>
    <t>V.dhananjaya</t>
  </si>
  <si>
    <t>067-15-000026</t>
  </si>
  <si>
    <t>Providing Children equipment to 15th cross children Park at Mahalakshmipuram in ward no 67</t>
  </si>
  <si>
    <t>067-17-000105</t>
  </si>
  <si>
    <t>Providing borewell and pipeline for water supply in ward no-67</t>
  </si>
  <si>
    <t>067-16-000035</t>
  </si>
  <si>
    <t>Improvements and construction of Shri kempegowda statue in front of MLA Bhavan in ward No.67 Nagapura</t>
  </si>
  <si>
    <t>067-16-000028</t>
  </si>
  <si>
    <t>Improvements and Asphalting to 2nd main , 3rd main, 10th D cross, 11th A cross (Siddaruda Park Surrounding area) in ward no -67</t>
  </si>
  <si>
    <t>067-16-000027</t>
  </si>
  <si>
    <t>Improvements and Asphalting to 12th B cross, and 12th A cross,10th cross,10th A Crossin ward no-67</t>
  </si>
  <si>
    <t>067-16-000029</t>
  </si>
  <si>
    <t>Improvements to Asphalting to 1st main 1st A Main 1st B main 11th B Main 11th C Main in ward No.67</t>
  </si>
  <si>
    <t>067-17-000003</t>
  </si>
  <si>
    <t>Providing and asphalting to 19th B, 19th C main road and surrounding area in 1st N Block (Punyadhama side) in ward no.67</t>
  </si>
  <si>
    <t>067-16-000026</t>
  </si>
  <si>
    <t>Improvements and Asphalting to 4th Main, 4th A main and 5thmain (KMWA College surrounding area) in ward no -67</t>
  </si>
  <si>
    <t>067-16-000030</t>
  </si>
  <si>
    <t>Providing and Asphalting to Kamalammangudi 2nd main, 3rd main, 3rd cross, 2nd cross in ward no -67</t>
  </si>
  <si>
    <t>067-17-000004</t>
  </si>
  <si>
    <t>Providing and asphalting to 19th F 19thE, 19th G Main road and surrounding area in 1st N Block in ward no.67</t>
  </si>
  <si>
    <t>067-14-000043</t>
  </si>
  <si>
    <t>Asphalting to bad reaches in 1st R Block Pipeline road in ward no 67</t>
  </si>
  <si>
    <t>067-14-000022</t>
  </si>
  <si>
    <t>Providing asphalting to 11th cross Nagapura main road and surroundings area in Nagapura ward no 67</t>
  </si>
  <si>
    <t>067-15-000018</t>
  </si>
  <si>
    <t>Improvements and Asphalting to Damaged Roads in ward no 67 Nagapura (Main Roads)</t>
  </si>
  <si>
    <t>067-13-000002</t>
  </si>
  <si>
    <t xml:space="preserve">Depot collection in ward NO 67 </t>
  </si>
  <si>
    <t>M/s Kumar Constructions (G.Kumarswamy)</t>
  </si>
  <si>
    <t>067-13-000001</t>
  </si>
  <si>
    <t xml:space="preserve">Collectionof bituminous barrel in ward No 67 </t>
  </si>
  <si>
    <t>067-13-000027</t>
  </si>
  <si>
    <t xml:space="preserve">Modified Estimate for Providing Asphalting to bad reaches of roads in ward No 67 </t>
  </si>
  <si>
    <t>067-15-000017</t>
  </si>
  <si>
    <t>Improvements and Asphalting to Damaged Roads in ward no 67 Nagapura (CrossRoads)</t>
  </si>
  <si>
    <t>067-17-000082</t>
  </si>
  <si>
    <t>Development of Roads and Drains in Ward No 67 Nagapura</t>
  </si>
  <si>
    <t>067-17-000021</t>
  </si>
  <si>
    <t>Providing and fixing open GYM Equipments and development works at Rajkumar Stadium premises in ward NO.67</t>
  </si>
  <si>
    <t>067-17-000018</t>
  </si>
  <si>
    <t>Providing and fixing open GYM Equipments and development works at 1st R block park in ward NO.67</t>
  </si>
  <si>
    <t>067-16-000037</t>
  </si>
  <si>
    <t>Maitnenance of MLA Bhavan office and division office premises in ward No.67</t>
  </si>
  <si>
    <t>067-18-000029</t>
  </si>
  <si>
    <t>Providing CC road and drain at 3rd cross bovipalya in ward no-67</t>
  </si>
  <si>
    <t>067-18-000032</t>
  </si>
  <si>
    <t>Providing CC road and drain at 6th cross bovipalya in ward no-67</t>
  </si>
  <si>
    <t>067-18-000034</t>
  </si>
  <si>
    <t>Providing CC road and drain at 8th cross(southern side) bovipalya in ward no-67</t>
  </si>
  <si>
    <t>067-18-000031</t>
  </si>
  <si>
    <t>Providing CC road and drain at 5th cross bovipalya in ward no-67</t>
  </si>
  <si>
    <t>Kridl</t>
  </si>
  <si>
    <t>067-18-000033</t>
  </si>
  <si>
    <t>Providing CC road and drain at 7th cross bovipalya in ward no-67</t>
  </si>
  <si>
    <t>067-17-000075</t>
  </si>
  <si>
    <t>Drilling of borewells and providing pipeline in ward no 67</t>
  </si>
  <si>
    <t>067-16-000002</t>
  </si>
  <si>
    <t>Annual Operation And maintenance Of Street Lights at Nagpura in Ward No- 67</t>
  </si>
  <si>
    <t>067-17-000005</t>
  </si>
  <si>
    <t>Providing rain water harvesting to 2nd stage and surrounding area in west of chord road in ward no.67</t>
  </si>
  <si>
    <t>067-16-000043</t>
  </si>
  <si>
    <t>Providing centralized air conditioner to indoor stadium at Dr.Rajkumar play ground Nagapura in ward No-67</t>
  </si>
  <si>
    <t>067-17-000060</t>
  </si>
  <si>
    <t>Drilling of Borewell and providing Pipeline in ward No.67</t>
  </si>
  <si>
    <t>J.C.Ramachandra</t>
  </si>
  <si>
    <t>067-18-000035</t>
  </si>
  <si>
    <t>Providing CC road and drain at 9th cross(northen side) bovipalya in ward no-67</t>
  </si>
  <si>
    <t>067-18-000038</t>
  </si>
  <si>
    <t>Providing CC road and drain at 11th cross bovipalya in ward no-67</t>
  </si>
  <si>
    <t>067-18-000028</t>
  </si>
  <si>
    <t>Providing CC road and drain at 1st and 2nd cross bovipalya in ward no-67</t>
  </si>
  <si>
    <t>067-18-000030</t>
  </si>
  <si>
    <t>Providing CC road and drain at 4th cross bovipalya in ward no-67</t>
  </si>
  <si>
    <t>067-18-000040</t>
  </si>
  <si>
    <t>Providing and laying UGD and sanitary works in bovipalya in ward no-67</t>
  </si>
  <si>
    <t>067-17-000007</t>
  </si>
  <si>
    <t>Construction of compound wall (RCC retaining wall) to division office in ward no.67</t>
  </si>
  <si>
    <t>067-17-000008</t>
  </si>
  <si>
    <t>Construction of compound wall (RCC retaining wall) to MLA Bhavana in ward no.67</t>
  </si>
  <si>
    <t xml:space="preserve">M/s KRIDl </t>
  </si>
  <si>
    <t>067-17-000001</t>
  </si>
  <si>
    <t>Improvements to drains and providing missing slabs to 12th cross and 1st main (Abharana Jewells road) and Surrounding area in ward NO.67</t>
  </si>
  <si>
    <t>067-17-000022</t>
  </si>
  <si>
    <t>Construction to Shelter to open GYM Equipments and other development works at Rajkumar Stadium premises in ward NO.67</t>
  </si>
  <si>
    <t>067-18-000039</t>
  </si>
  <si>
    <t>Providing CC road and drain at 12th  cross  bovipalya in ward no-67</t>
  </si>
  <si>
    <t>067-18-000122</t>
  </si>
  <si>
    <t>Providing Dr. Rajkumar Oil paintings in Dr. Rajkumar Indoor stad in ward no 67</t>
  </si>
  <si>
    <t>067-18-000123</t>
  </si>
  <si>
    <t>Providing Titanium lettered name boards for Dr. Rajumar Indoor Stadium in ward no 67</t>
  </si>
  <si>
    <t>067-17-000006</t>
  </si>
  <si>
    <t>Providing rain water harvesting to 1st R Block, 1st N Block  and surrounding area in ward no.67</t>
  </si>
  <si>
    <t>067-18-000096</t>
  </si>
  <si>
    <t>Providing pipeline to drinking water suipply  in ward no 67</t>
  </si>
  <si>
    <t>067-17-000057</t>
  </si>
  <si>
    <t>Improvements to Children park and Providing Children Equipments behind ward office in 1st N block in ward NO.67</t>
  </si>
  <si>
    <t>Muralidhara  C R</t>
  </si>
  <si>
    <t>067-17-000076</t>
  </si>
  <si>
    <t>Providing and improvements to path way works in Udayakumar park in ward no 67</t>
  </si>
  <si>
    <t>067-18-000018</t>
  </si>
  <si>
    <t>Additional Improvements works to DWCC center  in Ward No 67</t>
  </si>
  <si>
    <t>067-18-000019</t>
  </si>
  <si>
    <t>Providing M.S. angles and sheet all around DWCC Center in Ward No 67</t>
  </si>
  <si>
    <t>067-18-000121</t>
  </si>
  <si>
    <t>Providing S S Drinking water tanks in Mahalakshmipur Constutiency Park</t>
  </si>
  <si>
    <t>067-16-000010</t>
  </si>
  <si>
    <t>Potholes and Road Cutting  Filling in Ward No 67</t>
  </si>
  <si>
    <t>K.V.Vyasaraj</t>
  </si>
  <si>
    <t>067-15-000015</t>
  </si>
  <si>
    <t xml:space="preserve">Ward maintenance 2nd shift in Nagapura ward no.67 (2.00pm to 10.00pm)  </t>
  </si>
  <si>
    <t>067-17-000077</t>
  </si>
  <si>
    <t>Providing landscape development works to Udayakumar Park in ward no 67</t>
  </si>
  <si>
    <t>067-17-000078</t>
  </si>
  <si>
    <t>Improvements to grill works and providing ornamental benches to Udayakumar park in ward no 67</t>
  </si>
  <si>
    <t>067-15-000054</t>
  </si>
  <si>
    <t>Improvements to drain with B S Slab covering of 6th 7th 8th and 19th main 1st N block and Surrounding area in Nagapura   ward no 67</t>
  </si>
  <si>
    <t xml:space="preserve">Jayanth T Gowda </t>
  </si>
  <si>
    <t>067-16-000013</t>
  </si>
  <si>
    <t>Balance works of Dr Rajkumar kala Bhavana in Ward No-67</t>
  </si>
  <si>
    <t>SRI.MUNISWAMY NAIDU BABU (M/S BABU &amp;CO.)</t>
  </si>
  <si>
    <t>067-16-000018</t>
  </si>
  <si>
    <t>Development of SWM Seggregation Units in ward NO.67</t>
  </si>
  <si>
    <t>Rayee gowda</t>
  </si>
  <si>
    <t>067-18-000092</t>
  </si>
  <si>
    <t>Improvements to Storm water drain  in ward no 67</t>
  </si>
  <si>
    <t>Puttaraju (Varun construcitons)</t>
  </si>
  <si>
    <t>067-17-000035</t>
  </si>
  <si>
    <t>Providing and fixing indoor Gents gym equipments in Dr. Rajkumar Kalabhavana in ward no 67</t>
  </si>
  <si>
    <t>067-17-000036</t>
  </si>
  <si>
    <t>Providing and fixing indoor Ladies gym equipments in Dr. Rajkumar Kalabhavana in ward no 67</t>
  </si>
  <si>
    <t>The Executive Engineer, KRIDL</t>
  </si>
  <si>
    <t>067-18-000137</t>
  </si>
  <si>
    <t>Additional works to  Indira Canteen   opposite to Swathi Hotel near Metro track  inWard no 67 Nagapura</t>
  </si>
  <si>
    <t>067-17-000072</t>
  </si>
  <si>
    <t xml:space="preserve">Consultancy services for preparation of DPR for the work of Upgradation of Kamalammanagundi playground in ward No.67 </t>
  </si>
  <si>
    <t>M/s Nandish Associates</t>
  </si>
  <si>
    <t>067-18-000093</t>
  </si>
  <si>
    <t>Roads and footpath Maintenance   in ward no 67</t>
  </si>
  <si>
    <t>067-18-000100</t>
  </si>
  <si>
    <t>Providing Cement concrete to parking area at right side of Dr. Rajkumar indoor stadium in Ward no 67</t>
  </si>
  <si>
    <t>067-18-000102</t>
  </si>
  <si>
    <t>Construction of security room and other development works at Dr.Rajkumar kalabhavana in ward nO.67</t>
  </si>
  <si>
    <t>067-18-000101</t>
  </si>
  <si>
    <t xml:space="preserve">Providing Oranmental grill work and M.S gate and other improvements to parking area at Dr. Rajkumar indoor stadium in Ward no 67 </t>
  </si>
  <si>
    <t>067-18-000016</t>
  </si>
  <si>
    <t>Providing Gym Equipments to Senior Citizen  at Dr. Rajkumar Indoor Stadium in ward No 67</t>
  </si>
  <si>
    <t>P3359</t>
  </si>
  <si>
    <t>Developmental works in Mahlakshmi Layout Assembly Constituency</t>
  </si>
  <si>
    <t>067-17-000071</t>
  </si>
  <si>
    <t>Providing land scaping in infront of Dr Rajkumar Indoor stadium in ward no 67</t>
  </si>
  <si>
    <t>067-17-000069</t>
  </si>
  <si>
    <t>Providing Dr. Rajkumar Statue infront of Dr. Rajkumar Indoor stadium in ward no 67</t>
  </si>
  <si>
    <t>067-17-000070</t>
  </si>
  <si>
    <t>Improvements to footpath infront of Dr. Rajkumar Indoor stadium in ward no 67</t>
  </si>
  <si>
    <t>067-16-000031</t>
  </si>
  <si>
    <t>Development of Dr.Rajkumar Kalabhavana, Nagapura in ward no.67  Phase III</t>
  </si>
  <si>
    <t>067-15-000032</t>
  </si>
  <si>
    <t>Development of Dr. Rajkumar Stadium  Phase 2 in ward no 67 Nagapura</t>
  </si>
  <si>
    <t>SRI.MUNISWAMY NAIDU BABU (M/S BABU &amp; CO.)</t>
  </si>
  <si>
    <t>067-17-000014</t>
  </si>
  <si>
    <t>Providing Tree guard and plantation of trees  in ward NO.67</t>
  </si>
  <si>
    <t>067-18-000094</t>
  </si>
  <si>
    <t>Improvements and Maintenance of under ground drainage system   in ward no 67</t>
  </si>
  <si>
    <t>067-18-000091</t>
  </si>
  <si>
    <t>Solid waste management in ward no 67</t>
  </si>
  <si>
    <t>067-15-000012</t>
  </si>
  <si>
    <t xml:space="preserve">Pothole filling in Nagapura  wrad no.67  </t>
  </si>
  <si>
    <t>T.T.Vasanthakumar</t>
  </si>
  <si>
    <t>067-17-000079</t>
  </si>
  <si>
    <t>Additional improvements works to MLA Bhavan Premises and ward no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</si>
</sst>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1"/>
  <sheetViews>
    <sheetView tabSelected="1" workbookViewId="0">
      <selection activeCell="A2" sqref="A2:XFD91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191</v>
      </c>
      <c r="B2" s="13" t="s">
        <v>49</v>
      </c>
      <c r="C2" s="13">
        <v>43195</v>
      </c>
      <c r="D2" s="5">
        <v>67</v>
      </c>
      <c r="E2" s="6" t="s">
        <v>85</v>
      </c>
      <c r="F2" s="5" t="s">
        <v>86</v>
      </c>
      <c r="G2" s="6" t="s">
        <v>87</v>
      </c>
      <c r="H2" s="5" t="str">
        <f>"000282"</f>
        <v>000282</v>
      </c>
      <c r="I2" s="4">
        <v>43158</v>
      </c>
      <c r="J2" s="5" t="str">
        <f>"000101"</f>
        <v>000101</v>
      </c>
      <c r="K2" s="4">
        <v>43167</v>
      </c>
      <c r="L2" s="5" t="str">
        <f>"000237"</f>
        <v>000237</v>
      </c>
      <c r="M2" s="4">
        <v>43171</v>
      </c>
      <c r="N2" s="5">
        <v>17</v>
      </c>
      <c r="O2" s="5" t="str">
        <f>"000279"</f>
        <v>000279</v>
      </c>
      <c r="P2" s="4">
        <v>43195</v>
      </c>
      <c r="Q2" s="7">
        <v>99.896330000000006</v>
      </c>
      <c r="R2" s="7">
        <v>11.771990000000001</v>
      </c>
      <c r="S2" s="7">
        <v>88.124340000000004</v>
      </c>
      <c r="T2" s="5">
        <v>5</v>
      </c>
      <c r="U2" s="4">
        <v>43195</v>
      </c>
      <c r="V2" s="5">
        <v>9900333496</v>
      </c>
      <c r="W2" s="6" t="s">
        <v>74</v>
      </c>
      <c r="X2" s="5" t="s">
        <v>37</v>
      </c>
      <c r="Y2" s="6" t="s">
        <v>38</v>
      </c>
      <c r="Z2" s="5" t="s">
        <v>88</v>
      </c>
      <c r="AA2" s="6" t="s">
        <v>89</v>
      </c>
      <c r="AB2" s="7">
        <v>0.99896330000000011</v>
      </c>
      <c r="AD2" s="8"/>
      <c r="AF2" s="8"/>
      <c r="AG2" s="8"/>
    </row>
    <row r="3" spans="1:33" x14ac:dyDescent="0.2">
      <c r="A3" s="12">
        <v>378</v>
      </c>
      <c r="B3" s="13" t="s">
        <v>49</v>
      </c>
      <c r="C3" s="13">
        <v>43200</v>
      </c>
      <c r="D3" s="5">
        <v>67</v>
      </c>
      <c r="E3" s="6" t="s">
        <v>85</v>
      </c>
      <c r="F3" s="5" t="s">
        <v>90</v>
      </c>
      <c r="G3" s="6" t="s">
        <v>91</v>
      </c>
      <c r="H3" s="5" t="str">
        <f>"000012"</f>
        <v>000012</v>
      </c>
      <c r="I3" s="4">
        <v>42496</v>
      </c>
      <c r="J3" s="5" t="str">
        <f>"000231"</f>
        <v>000231</v>
      </c>
      <c r="K3" s="4">
        <v>42647</v>
      </c>
      <c r="L3" s="5" t="str">
        <f>"000718"</f>
        <v>000718</v>
      </c>
      <c r="M3" s="4">
        <v>42700</v>
      </c>
      <c r="N3" s="5">
        <v>15</v>
      </c>
      <c r="O3" s="5" t="str">
        <f>"000403"</f>
        <v>000403</v>
      </c>
      <c r="P3" s="4">
        <v>43197</v>
      </c>
      <c r="Q3" s="7">
        <v>3.0309699999999999</v>
      </c>
      <c r="R3" s="7">
        <v>0.22108</v>
      </c>
      <c r="S3" s="7">
        <v>2.8098900000000002</v>
      </c>
      <c r="T3" s="5">
        <v>10</v>
      </c>
      <c r="U3" s="4">
        <v>43200</v>
      </c>
      <c r="V3" s="5">
        <v>9448708434</v>
      </c>
      <c r="W3" s="6" t="s">
        <v>92</v>
      </c>
      <c r="X3" s="5" t="s">
        <v>79</v>
      </c>
      <c r="Y3" s="6" t="s">
        <v>80</v>
      </c>
      <c r="Z3" s="5" t="s">
        <v>88</v>
      </c>
      <c r="AA3" s="6" t="s">
        <v>89</v>
      </c>
      <c r="AB3" s="7">
        <v>3.0309699999999998E-2</v>
      </c>
      <c r="AD3" s="8"/>
      <c r="AF3" s="8"/>
      <c r="AG3" s="8"/>
    </row>
    <row r="4" spans="1:33" x14ac:dyDescent="0.2">
      <c r="A4" s="12">
        <v>520</v>
      </c>
      <c r="B4" s="13" t="s">
        <v>49</v>
      </c>
      <c r="C4" s="13">
        <v>43203</v>
      </c>
      <c r="D4" s="5">
        <v>67</v>
      </c>
      <c r="E4" s="6" t="s">
        <v>85</v>
      </c>
      <c r="F4" s="5" t="s">
        <v>93</v>
      </c>
      <c r="G4" s="6" t="s">
        <v>94</v>
      </c>
      <c r="H4" s="5" t="str">
        <f>"000227"</f>
        <v>000227</v>
      </c>
      <c r="I4" s="4">
        <v>43152</v>
      </c>
      <c r="J4" s="5" t="str">
        <f>"000119"</f>
        <v>000119</v>
      </c>
      <c r="K4" s="4">
        <v>43176</v>
      </c>
      <c r="L4" s="5" t="str">
        <f>"000274"</f>
        <v>000274</v>
      </c>
      <c r="M4" s="4">
        <v>43180</v>
      </c>
      <c r="N4" s="5">
        <v>18</v>
      </c>
      <c r="O4" s="5" t="str">
        <f>"000472"</f>
        <v>000472</v>
      </c>
      <c r="P4" s="4">
        <v>43201</v>
      </c>
      <c r="Q4" s="7">
        <v>24.938849999999999</v>
      </c>
      <c r="R4" s="7">
        <v>2.4824700000000002</v>
      </c>
      <c r="S4" s="7">
        <v>22.456379999999999</v>
      </c>
      <c r="T4" s="5">
        <v>16</v>
      </c>
      <c r="U4" s="4">
        <v>43203</v>
      </c>
      <c r="V4" s="5">
        <v>9900333496</v>
      </c>
      <c r="W4" s="6" t="s">
        <v>74</v>
      </c>
      <c r="X4" s="5" t="s">
        <v>48</v>
      </c>
      <c r="Y4" s="6" t="s">
        <v>47</v>
      </c>
      <c r="Z4" s="5" t="s">
        <v>88</v>
      </c>
      <c r="AA4" s="6" t="s">
        <v>89</v>
      </c>
      <c r="AB4" s="7">
        <v>0.24938849999999999</v>
      </c>
      <c r="AD4" s="8"/>
      <c r="AF4" s="8"/>
      <c r="AG4" s="8"/>
    </row>
    <row r="5" spans="1:33" x14ac:dyDescent="0.2">
      <c r="A5" s="12">
        <v>781</v>
      </c>
      <c r="B5" s="13" t="s">
        <v>49</v>
      </c>
      <c r="C5" s="13">
        <v>43217</v>
      </c>
      <c r="D5" s="5">
        <v>67</v>
      </c>
      <c r="E5" s="6" t="s">
        <v>85</v>
      </c>
      <c r="F5" s="5" t="s">
        <v>95</v>
      </c>
      <c r="G5" s="6" t="s">
        <v>96</v>
      </c>
      <c r="H5" s="5" t="str">
        <f>"000021"</f>
        <v>000021</v>
      </c>
      <c r="I5" s="4">
        <v>41768</v>
      </c>
      <c r="J5" s="5" t="str">
        <f>"000231"</f>
        <v>000231</v>
      </c>
      <c r="K5" s="4">
        <v>41943</v>
      </c>
      <c r="L5" s="5" t="str">
        <f>"000730"</f>
        <v>000730</v>
      </c>
      <c r="M5" s="4">
        <v>41943</v>
      </c>
      <c r="N5" s="5">
        <v>14</v>
      </c>
      <c r="O5" s="5" t="str">
        <f>"004351"</f>
        <v>004351</v>
      </c>
      <c r="P5" s="4">
        <v>42588</v>
      </c>
      <c r="Q5" s="7">
        <v>3.77948</v>
      </c>
      <c r="R5" s="7">
        <v>0.47305000000000003</v>
      </c>
      <c r="S5" s="7">
        <v>3.3064300000000002</v>
      </c>
      <c r="T5" s="5">
        <v>31</v>
      </c>
      <c r="U5" s="4">
        <v>43217</v>
      </c>
      <c r="V5" s="5">
        <v>9900333496</v>
      </c>
      <c r="W5" s="6" t="s">
        <v>74</v>
      </c>
      <c r="X5" s="5" t="s">
        <v>29</v>
      </c>
      <c r="Y5" s="6" t="s">
        <v>30</v>
      </c>
      <c r="Z5" s="5" t="s">
        <v>88</v>
      </c>
      <c r="AA5" s="6" t="s">
        <v>89</v>
      </c>
      <c r="AB5" s="7">
        <v>3.7794799999999996E-2</v>
      </c>
      <c r="AD5" s="8"/>
      <c r="AF5" s="8"/>
      <c r="AG5" s="8"/>
    </row>
    <row r="6" spans="1:33" x14ac:dyDescent="0.2">
      <c r="A6" s="12">
        <v>1429</v>
      </c>
      <c r="B6" s="13" t="s">
        <v>35</v>
      </c>
      <c r="C6" s="13">
        <v>43242</v>
      </c>
      <c r="D6" s="5">
        <v>67</v>
      </c>
      <c r="E6" s="6" t="s">
        <v>85</v>
      </c>
      <c r="F6" s="5" t="s">
        <v>97</v>
      </c>
      <c r="G6" s="6" t="s">
        <v>98</v>
      </c>
      <c r="H6" s="5" t="str">
        <f>"000028"</f>
        <v>000028</v>
      </c>
      <c r="I6" s="4">
        <v>42516</v>
      </c>
      <c r="J6" s="5" t="str">
        <f>"000260"</f>
        <v>000260</v>
      </c>
      <c r="K6" s="4">
        <v>42713</v>
      </c>
      <c r="L6" s="5" t="str">
        <f>"000788"</f>
        <v>000788</v>
      </c>
      <c r="M6" s="4">
        <v>42730</v>
      </c>
      <c r="N6" s="5">
        <v>15</v>
      </c>
      <c r="O6" s="5" t="str">
        <f>"001562"</f>
        <v>001562</v>
      </c>
      <c r="P6" s="4">
        <v>43238</v>
      </c>
      <c r="Q6" s="7">
        <v>4.9616899999999999</v>
      </c>
      <c r="R6" s="7">
        <v>0.33506999999999998</v>
      </c>
      <c r="S6" s="7">
        <v>4.62662</v>
      </c>
      <c r="T6" s="5">
        <v>59</v>
      </c>
      <c r="U6" s="4">
        <v>43242</v>
      </c>
      <c r="V6" s="5">
        <v>9916161644</v>
      </c>
      <c r="W6" s="6" t="s">
        <v>99</v>
      </c>
      <c r="X6" s="5" t="s">
        <v>29</v>
      </c>
      <c r="Y6" s="6" t="s">
        <v>30</v>
      </c>
      <c r="Z6" s="5" t="s">
        <v>88</v>
      </c>
      <c r="AA6" s="6" t="s">
        <v>89</v>
      </c>
      <c r="AB6" s="7">
        <v>4.9616899999999999E-2</v>
      </c>
      <c r="AD6" s="8"/>
      <c r="AF6" s="8"/>
      <c r="AG6" s="8"/>
    </row>
    <row r="7" spans="1:33" x14ac:dyDescent="0.2">
      <c r="A7" s="12">
        <v>1625</v>
      </c>
      <c r="B7" s="13" t="s">
        <v>34</v>
      </c>
      <c r="C7" s="13">
        <v>43252</v>
      </c>
      <c r="D7" s="5">
        <v>67</v>
      </c>
      <c r="E7" s="6" t="s">
        <v>85</v>
      </c>
      <c r="F7" s="5" t="s">
        <v>100</v>
      </c>
      <c r="G7" s="6" t="s">
        <v>101</v>
      </c>
      <c r="H7" s="5" t="str">
        <f>"000167"</f>
        <v>000167</v>
      </c>
      <c r="I7" s="4">
        <v>42585</v>
      </c>
      <c r="J7" s="5" t="str">
        <f>"000320"</f>
        <v>000320</v>
      </c>
      <c r="K7" s="4">
        <v>42793</v>
      </c>
      <c r="L7" s="5" t="str">
        <f>"000923"</f>
        <v>000923</v>
      </c>
      <c r="M7" s="4">
        <v>42794</v>
      </c>
      <c r="N7" s="5">
        <v>14</v>
      </c>
      <c r="O7" s="5" t="str">
        <f>"001834"</f>
        <v>001834</v>
      </c>
      <c r="P7" s="4">
        <v>43244</v>
      </c>
      <c r="Q7" s="7">
        <v>19.28135</v>
      </c>
      <c r="R7" s="7">
        <v>2.35032</v>
      </c>
      <c r="S7" s="7">
        <v>16.93103</v>
      </c>
      <c r="T7" s="5">
        <v>65</v>
      </c>
      <c r="U7" s="4">
        <v>43252</v>
      </c>
      <c r="V7" s="5">
        <v>9019392999</v>
      </c>
      <c r="W7" s="6" t="s">
        <v>102</v>
      </c>
      <c r="X7" s="5" t="s">
        <v>29</v>
      </c>
      <c r="Y7" s="6" t="s">
        <v>30</v>
      </c>
      <c r="Z7" s="5" t="s">
        <v>88</v>
      </c>
      <c r="AA7" s="6" t="s">
        <v>89</v>
      </c>
      <c r="AB7" s="7">
        <v>0.1928135</v>
      </c>
      <c r="AD7" s="8"/>
      <c r="AF7" s="8"/>
      <c r="AG7" s="8"/>
    </row>
    <row r="8" spans="1:33" x14ac:dyDescent="0.2">
      <c r="A8" s="12">
        <v>1626</v>
      </c>
      <c r="B8" s="13" t="s">
        <v>34</v>
      </c>
      <c r="C8" s="13">
        <v>43252</v>
      </c>
      <c r="D8" s="5">
        <v>67</v>
      </c>
      <c r="E8" s="6" t="s">
        <v>85</v>
      </c>
      <c r="F8" s="5" t="s">
        <v>103</v>
      </c>
      <c r="G8" s="6" t="s">
        <v>104</v>
      </c>
      <c r="H8" s="5" t="str">
        <f>"000032"</f>
        <v>000032</v>
      </c>
      <c r="I8" s="4">
        <v>42534</v>
      </c>
      <c r="J8" s="5" t="str">
        <f>"000327"</f>
        <v>000327</v>
      </c>
      <c r="K8" s="4">
        <v>42794</v>
      </c>
      <c r="L8" s="5" t="str">
        <f>"000924"</f>
        <v>000924</v>
      </c>
      <c r="M8" s="4">
        <v>42794</v>
      </c>
      <c r="N8" s="5">
        <v>15</v>
      </c>
      <c r="O8" s="5" t="str">
        <f>"001835"</f>
        <v>001835</v>
      </c>
      <c r="P8" s="4">
        <v>43244</v>
      </c>
      <c r="Q8" s="7">
        <v>3.45871</v>
      </c>
      <c r="R8" s="7">
        <v>0.42166999999999999</v>
      </c>
      <c r="S8" s="7">
        <v>3.0370400000000002</v>
      </c>
      <c r="T8" s="5">
        <v>65</v>
      </c>
      <c r="U8" s="4">
        <v>43252</v>
      </c>
      <c r="V8" s="5">
        <v>9019392999</v>
      </c>
      <c r="W8" s="6" t="s">
        <v>102</v>
      </c>
      <c r="X8" s="5" t="s">
        <v>79</v>
      </c>
      <c r="Y8" s="6" t="s">
        <v>80</v>
      </c>
      <c r="Z8" s="5" t="s">
        <v>88</v>
      </c>
      <c r="AA8" s="6" t="s">
        <v>89</v>
      </c>
      <c r="AB8" s="7">
        <v>3.4587100000000003E-2</v>
      </c>
      <c r="AD8" s="8"/>
      <c r="AF8" s="8"/>
      <c r="AG8" s="8"/>
    </row>
    <row r="9" spans="1:33" x14ac:dyDescent="0.2">
      <c r="A9" s="12">
        <v>1627</v>
      </c>
      <c r="B9" s="13" t="s">
        <v>34</v>
      </c>
      <c r="C9" s="13">
        <v>43252</v>
      </c>
      <c r="D9" s="5">
        <v>67</v>
      </c>
      <c r="E9" s="6" t="s">
        <v>85</v>
      </c>
      <c r="F9" s="5" t="s">
        <v>105</v>
      </c>
      <c r="G9" s="6" t="s">
        <v>106</v>
      </c>
      <c r="H9" s="5" t="str">
        <f>"000035"</f>
        <v>000035</v>
      </c>
      <c r="I9" s="4">
        <v>42537</v>
      </c>
      <c r="J9" s="5" t="str">
        <f>"000324"</f>
        <v>000324</v>
      </c>
      <c r="K9" s="4">
        <v>42793</v>
      </c>
      <c r="L9" s="5" t="str">
        <f>"000925"</f>
        <v>000925</v>
      </c>
      <c r="M9" s="4">
        <v>42794</v>
      </c>
      <c r="N9" s="5">
        <v>15</v>
      </c>
      <c r="O9" s="5" t="str">
        <f>"001836"</f>
        <v>001836</v>
      </c>
      <c r="P9" s="4">
        <v>43244</v>
      </c>
      <c r="Q9" s="7">
        <v>2.6025800000000001</v>
      </c>
      <c r="R9" s="7">
        <v>0.31324000000000002</v>
      </c>
      <c r="S9" s="7">
        <v>2.2893400000000002</v>
      </c>
      <c r="T9" s="5">
        <v>65</v>
      </c>
      <c r="U9" s="4">
        <v>43252</v>
      </c>
      <c r="V9" s="5">
        <v>9019392999</v>
      </c>
      <c r="W9" s="6" t="s">
        <v>102</v>
      </c>
      <c r="X9" s="5" t="s">
        <v>79</v>
      </c>
      <c r="Y9" s="6" t="s">
        <v>80</v>
      </c>
      <c r="Z9" s="5" t="s">
        <v>88</v>
      </c>
      <c r="AA9" s="6" t="s">
        <v>89</v>
      </c>
      <c r="AB9" s="7">
        <v>2.6025800000000002E-2</v>
      </c>
      <c r="AD9" s="8"/>
      <c r="AF9" s="8"/>
      <c r="AG9" s="8"/>
    </row>
    <row r="10" spans="1:33" x14ac:dyDescent="0.2">
      <c r="A10" s="12">
        <v>1628</v>
      </c>
      <c r="B10" s="13" t="s">
        <v>34</v>
      </c>
      <c r="C10" s="13">
        <v>43252</v>
      </c>
      <c r="D10" s="5">
        <v>67</v>
      </c>
      <c r="E10" s="6" t="s">
        <v>85</v>
      </c>
      <c r="F10" s="5" t="s">
        <v>107</v>
      </c>
      <c r="G10" s="6" t="s">
        <v>108</v>
      </c>
      <c r="H10" s="5" t="str">
        <f>"000031"</f>
        <v>000031</v>
      </c>
      <c r="I10" s="4">
        <v>42534</v>
      </c>
      <c r="J10" s="5" t="str">
        <f>"000326"</f>
        <v>000326</v>
      </c>
      <c r="K10" s="4">
        <v>42793</v>
      </c>
      <c r="L10" s="5" t="str">
        <f>"000926"</f>
        <v>000926</v>
      </c>
      <c r="M10" s="4">
        <v>42794</v>
      </c>
      <c r="N10" s="5">
        <v>15</v>
      </c>
      <c r="O10" s="5" t="str">
        <f>"001837"</f>
        <v>001837</v>
      </c>
      <c r="P10" s="4">
        <v>43244</v>
      </c>
      <c r="Q10" s="7">
        <v>4.0293599999999996</v>
      </c>
      <c r="R10" s="7">
        <v>0.48398000000000002</v>
      </c>
      <c r="S10" s="7">
        <v>3.5453800000000002</v>
      </c>
      <c r="T10" s="5">
        <v>65</v>
      </c>
      <c r="U10" s="4">
        <v>43252</v>
      </c>
      <c r="V10" s="5">
        <v>9019392999</v>
      </c>
      <c r="W10" s="6" t="s">
        <v>102</v>
      </c>
      <c r="X10" s="5" t="s">
        <v>79</v>
      </c>
      <c r="Y10" s="6" t="s">
        <v>80</v>
      </c>
      <c r="Z10" s="5" t="s">
        <v>88</v>
      </c>
      <c r="AA10" s="6" t="s">
        <v>89</v>
      </c>
      <c r="AB10" s="7">
        <v>4.0293599999999999E-2</v>
      </c>
      <c r="AD10" s="8"/>
      <c r="AF10" s="8"/>
      <c r="AG10" s="8"/>
    </row>
    <row r="11" spans="1:33" x14ac:dyDescent="0.2">
      <c r="A11" s="12">
        <v>1629</v>
      </c>
      <c r="B11" s="13" t="s">
        <v>34</v>
      </c>
      <c r="C11" s="13">
        <v>43252</v>
      </c>
      <c r="D11" s="5">
        <v>67</v>
      </c>
      <c r="E11" s="6" t="s">
        <v>85</v>
      </c>
      <c r="F11" s="5" t="s">
        <v>109</v>
      </c>
      <c r="G11" s="6" t="s">
        <v>110</v>
      </c>
      <c r="H11" s="5" t="str">
        <f>"000034"</f>
        <v>000034</v>
      </c>
      <c r="I11" s="4">
        <v>42537</v>
      </c>
      <c r="J11" s="5" t="str">
        <f>"000325"</f>
        <v>000325</v>
      </c>
      <c r="K11" s="4">
        <v>42793</v>
      </c>
      <c r="L11" s="5" t="str">
        <f>"000927"</f>
        <v>000927</v>
      </c>
      <c r="M11" s="4">
        <v>42794</v>
      </c>
      <c r="N11" s="5">
        <v>15</v>
      </c>
      <c r="O11" s="5" t="str">
        <f>"001838"</f>
        <v>001838</v>
      </c>
      <c r="P11" s="4">
        <v>43244</v>
      </c>
      <c r="Q11" s="7">
        <v>8.6265999999999998</v>
      </c>
      <c r="R11" s="7">
        <v>1.0307299999999999</v>
      </c>
      <c r="S11" s="7">
        <v>7.5958699999999997</v>
      </c>
      <c r="T11" s="5">
        <v>65</v>
      </c>
      <c r="U11" s="4">
        <v>43252</v>
      </c>
      <c r="V11" s="5">
        <v>9019392999</v>
      </c>
      <c r="W11" s="6" t="s">
        <v>111</v>
      </c>
      <c r="X11" s="5" t="s">
        <v>79</v>
      </c>
      <c r="Y11" s="6" t="s">
        <v>80</v>
      </c>
      <c r="Z11" s="5" t="s">
        <v>88</v>
      </c>
      <c r="AA11" s="6" t="s">
        <v>89</v>
      </c>
      <c r="AB11" s="7">
        <v>8.6265999999999995E-2</v>
      </c>
      <c r="AD11" s="8"/>
      <c r="AF11" s="8"/>
      <c r="AG11" s="8"/>
    </row>
    <row r="12" spans="1:33" x14ac:dyDescent="0.2">
      <c r="A12" s="12">
        <v>1630</v>
      </c>
      <c r="B12" s="13" t="s">
        <v>34</v>
      </c>
      <c r="C12" s="13">
        <v>43252</v>
      </c>
      <c r="D12" s="5">
        <v>67</v>
      </c>
      <c r="E12" s="6" t="s">
        <v>85</v>
      </c>
      <c r="F12" s="5" t="s">
        <v>112</v>
      </c>
      <c r="G12" s="6" t="s">
        <v>113</v>
      </c>
      <c r="H12" s="5" t="str">
        <f>"000030"</f>
        <v>000030</v>
      </c>
      <c r="I12" s="4">
        <v>42534</v>
      </c>
      <c r="J12" s="5" t="str">
        <f>"000323"</f>
        <v>000323</v>
      </c>
      <c r="K12" s="4">
        <v>42793</v>
      </c>
      <c r="L12" s="5" t="str">
        <f>"000928"</f>
        <v>000928</v>
      </c>
      <c r="M12" s="4">
        <v>42794</v>
      </c>
      <c r="N12" s="5">
        <v>15</v>
      </c>
      <c r="O12" s="5" t="str">
        <f>"001839"</f>
        <v>001839</v>
      </c>
      <c r="P12" s="4">
        <v>43244</v>
      </c>
      <c r="Q12" s="7">
        <v>6.9696100000000003</v>
      </c>
      <c r="R12" s="7">
        <v>0.83160000000000001</v>
      </c>
      <c r="S12" s="7">
        <v>6.1380100000000004</v>
      </c>
      <c r="T12" s="5">
        <v>65</v>
      </c>
      <c r="U12" s="4">
        <v>43252</v>
      </c>
      <c r="V12" s="5">
        <v>9019392999</v>
      </c>
      <c r="W12" s="6" t="s">
        <v>102</v>
      </c>
      <c r="X12" s="5" t="s">
        <v>79</v>
      </c>
      <c r="Y12" s="6" t="s">
        <v>80</v>
      </c>
      <c r="Z12" s="5" t="s">
        <v>88</v>
      </c>
      <c r="AA12" s="6" t="s">
        <v>89</v>
      </c>
      <c r="AB12" s="7">
        <v>6.9696099999999997E-2</v>
      </c>
      <c r="AD12" s="8"/>
      <c r="AF12" s="8"/>
      <c r="AG12" s="8"/>
    </row>
    <row r="13" spans="1:33" x14ac:dyDescent="0.2">
      <c r="A13" s="12">
        <v>2008</v>
      </c>
      <c r="B13" s="13" t="s">
        <v>34</v>
      </c>
      <c r="C13" s="13">
        <v>43262</v>
      </c>
      <c r="D13" s="5">
        <v>67</v>
      </c>
      <c r="E13" s="6" t="s">
        <v>85</v>
      </c>
      <c r="F13" s="5" t="s">
        <v>114</v>
      </c>
      <c r="G13" s="6" t="s">
        <v>115</v>
      </c>
      <c r="H13" s="5" t="str">
        <f>"000023"</f>
        <v>000023</v>
      </c>
      <c r="I13" s="4">
        <v>42865</v>
      </c>
      <c r="J13" s="5" t="str">
        <f>"000118"</f>
        <v>000118</v>
      </c>
      <c r="K13" s="4">
        <v>42901</v>
      </c>
      <c r="L13" s="5" t="str">
        <f>"000302"</f>
        <v>000302</v>
      </c>
      <c r="M13" s="4">
        <v>42906</v>
      </c>
      <c r="N13" s="5">
        <v>17</v>
      </c>
      <c r="O13" s="5" t="str">
        <f>"002204"</f>
        <v>002204</v>
      </c>
      <c r="P13" s="4">
        <v>43257</v>
      </c>
      <c r="Q13" s="7">
        <v>14.80463</v>
      </c>
      <c r="R13" s="7">
        <v>1.97296</v>
      </c>
      <c r="S13" s="7">
        <v>12.831670000000001</v>
      </c>
      <c r="T13" s="5">
        <v>79</v>
      </c>
      <c r="U13" s="4">
        <v>43262</v>
      </c>
      <c r="V13" s="5">
        <v>9900333496</v>
      </c>
      <c r="W13" s="6" t="s">
        <v>77</v>
      </c>
      <c r="X13" s="5" t="s">
        <v>53</v>
      </c>
      <c r="Y13" s="6" t="s">
        <v>52</v>
      </c>
      <c r="Z13" s="5" t="s">
        <v>88</v>
      </c>
      <c r="AA13" s="6" t="s">
        <v>89</v>
      </c>
      <c r="AB13" s="7">
        <v>0.14804629999999999</v>
      </c>
      <c r="AD13" s="8"/>
      <c r="AF13" s="8"/>
      <c r="AG13" s="8"/>
    </row>
    <row r="14" spans="1:33" x14ac:dyDescent="0.2">
      <c r="A14" s="12">
        <v>2009</v>
      </c>
      <c r="B14" s="13" t="s">
        <v>34</v>
      </c>
      <c r="C14" s="13">
        <v>43262</v>
      </c>
      <c r="D14" s="5">
        <v>67</v>
      </c>
      <c r="E14" s="6" t="s">
        <v>85</v>
      </c>
      <c r="F14" s="5" t="s">
        <v>116</v>
      </c>
      <c r="G14" s="6" t="s">
        <v>117</v>
      </c>
      <c r="H14" s="5" t="str">
        <f>"000181"</f>
        <v>000181</v>
      </c>
      <c r="I14" s="4">
        <v>42599</v>
      </c>
      <c r="J14" s="5" t="str">
        <f>"000178"</f>
        <v>000178</v>
      </c>
      <c r="K14" s="4">
        <v>42628</v>
      </c>
      <c r="L14" s="5" t="str">
        <f>"000599"</f>
        <v>000599</v>
      </c>
      <c r="M14" s="4">
        <v>42629</v>
      </c>
      <c r="N14" s="5">
        <v>16</v>
      </c>
      <c r="O14" s="5" t="str">
        <f>"002295"</f>
        <v>002295</v>
      </c>
      <c r="P14" s="4">
        <v>43258</v>
      </c>
      <c r="Q14" s="7">
        <v>24.779900000000001</v>
      </c>
      <c r="R14" s="7">
        <v>3.4047000000000001</v>
      </c>
      <c r="S14" s="7">
        <v>21.3752</v>
      </c>
      <c r="T14" s="5">
        <v>80</v>
      </c>
      <c r="U14" s="4">
        <v>43262</v>
      </c>
      <c r="V14" s="5">
        <v>9900333496</v>
      </c>
      <c r="W14" s="6" t="s">
        <v>74</v>
      </c>
      <c r="X14" s="5" t="s">
        <v>79</v>
      </c>
      <c r="Y14" s="6" t="s">
        <v>80</v>
      </c>
      <c r="Z14" s="5" t="s">
        <v>88</v>
      </c>
      <c r="AA14" s="6" t="s">
        <v>89</v>
      </c>
      <c r="AB14" s="7">
        <v>0.24779900000000002</v>
      </c>
      <c r="AD14" s="8"/>
      <c r="AF14" s="8"/>
      <c r="AG14" s="8"/>
    </row>
    <row r="15" spans="1:33" x14ac:dyDescent="0.2">
      <c r="A15" s="12">
        <v>2272</v>
      </c>
      <c r="B15" s="13" t="s">
        <v>34</v>
      </c>
      <c r="C15" s="13">
        <v>43269</v>
      </c>
      <c r="D15" s="5">
        <v>67</v>
      </c>
      <c r="E15" s="6" t="s">
        <v>85</v>
      </c>
      <c r="F15" s="5" t="s">
        <v>118</v>
      </c>
      <c r="G15" s="6" t="s">
        <v>119</v>
      </c>
      <c r="H15" s="5" t="str">
        <f>"000143"</f>
        <v>000143</v>
      </c>
      <c r="I15" s="4">
        <v>42550</v>
      </c>
      <c r="J15" s="5" t="str">
        <f>"000210"</f>
        <v>000210</v>
      </c>
      <c r="K15" s="4">
        <v>42632</v>
      </c>
      <c r="L15" s="5" t="str">
        <f>"000655"</f>
        <v>000655</v>
      </c>
      <c r="M15" s="4">
        <v>42633</v>
      </c>
      <c r="N15" s="5">
        <v>16</v>
      </c>
      <c r="O15" s="5" t="str">
        <f>"002354"</f>
        <v>002354</v>
      </c>
      <c r="P15" s="4">
        <v>43262</v>
      </c>
      <c r="Q15" s="7">
        <v>19.939959999999999</v>
      </c>
      <c r="R15" s="7">
        <v>2.7166100000000002</v>
      </c>
      <c r="S15" s="7">
        <v>17.22335</v>
      </c>
      <c r="T15" s="5">
        <v>90</v>
      </c>
      <c r="U15" s="4">
        <v>43269</v>
      </c>
      <c r="V15" s="5">
        <v>9900333496</v>
      </c>
      <c r="W15" s="6" t="s">
        <v>78</v>
      </c>
      <c r="X15" s="5" t="s">
        <v>58</v>
      </c>
      <c r="Y15" s="6" t="s">
        <v>57</v>
      </c>
      <c r="Z15" s="5" t="s">
        <v>88</v>
      </c>
      <c r="AA15" s="6" t="s">
        <v>89</v>
      </c>
      <c r="AB15" s="7">
        <v>0.19939959999999998</v>
      </c>
      <c r="AD15" s="8"/>
      <c r="AF15" s="8"/>
      <c r="AG15" s="8"/>
    </row>
    <row r="16" spans="1:33" x14ac:dyDescent="0.2">
      <c r="A16" s="12">
        <v>2273</v>
      </c>
      <c r="B16" s="13" t="s">
        <v>34</v>
      </c>
      <c r="C16" s="13">
        <v>43269</v>
      </c>
      <c r="D16" s="5">
        <v>67</v>
      </c>
      <c r="E16" s="6" t="s">
        <v>85</v>
      </c>
      <c r="F16" s="5" t="s">
        <v>120</v>
      </c>
      <c r="G16" s="6" t="s">
        <v>121</v>
      </c>
      <c r="H16" s="5" t="str">
        <f>"000142"</f>
        <v>000142</v>
      </c>
      <c r="I16" s="4">
        <v>42550</v>
      </c>
      <c r="J16" s="5" t="str">
        <f>"000209"</f>
        <v>000209</v>
      </c>
      <c r="K16" s="4">
        <v>42632</v>
      </c>
      <c r="L16" s="5" t="str">
        <f>"000656"</f>
        <v>000656</v>
      </c>
      <c r="M16" s="4">
        <v>42633</v>
      </c>
      <c r="N16" s="5">
        <v>16</v>
      </c>
      <c r="O16" s="5" t="str">
        <f>"002355"</f>
        <v>002355</v>
      </c>
      <c r="P16" s="4">
        <v>43262</v>
      </c>
      <c r="Q16" s="7">
        <v>19.937429999999999</v>
      </c>
      <c r="R16" s="7">
        <v>2.7161900000000001</v>
      </c>
      <c r="S16" s="7">
        <v>17.221240000000002</v>
      </c>
      <c r="T16" s="5">
        <v>90</v>
      </c>
      <c r="U16" s="4">
        <v>43269</v>
      </c>
      <c r="V16" s="5">
        <v>9900333496</v>
      </c>
      <c r="W16" s="6" t="s">
        <v>77</v>
      </c>
      <c r="X16" s="5" t="s">
        <v>58</v>
      </c>
      <c r="Y16" s="6" t="s">
        <v>57</v>
      </c>
      <c r="Z16" s="5" t="s">
        <v>88</v>
      </c>
      <c r="AA16" s="6" t="s">
        <v>89</v>
      </c>
      <c r="AB16" s="7">
        <v>0.1993743</v>
      </c>
      <c r="AD16" s="8"/>
      <c r="AF16" s="8"/>
      <c r="AG16" s="8"/>
    </row>
    <row r="17" spans="1:33" x14ac:dyDescent="0.2">
      <c r="A17" s="12">
        <v>2274</v>
      </c>
      <c r="B17" s="13" t="s">
        <v>34</v>
      </c>
      <c r="C17" s="13">
        <v>43269</v>
      </c>
      <c r="D17" s="5">
        <v>67</v>
      </c>
      <c r="E17" s="6" t="s">
        <v>85</v>
      </c>
      <c r="F17" s="5" t="s">
        <v>122</v>
      </c>
      <c r="G17" s="6" t="s">
        <v>123</v>
      </c>
      <c r="H17" s="5" t="str">
        <f>"000144"</f>
        <v>000144</v>
      </c>
      <c r="I17" s="4">
        <v>42550</v>
      </c>
      <c r="J17" s="5" t="str">
        <f>"000211"</f>
        <v>000211</v>
      </c>
      <c r="K17" s="4">
        <v>42632</v>
      </c>
      <c r="L17" s="5" t="str">
        <f>"000657"</f>
        <v>000657</v>
      </c>
      <c r="M17" s="4">
        <v>42633</v>
      </c>
      <c r="N17" s="5">
        <v>16</v>
      </c>
      <c r="O17" s="5" t="str">
        <f>"002356"</f>
        <v>002356</v>
      </c>
      <c r="P17" s="4">
        <v>43262</v>
      </c>
      <c r="Q17" s="7">
        <v>19.898569999999999</v>
      </c>
      <c r="R17" s="7">
        <v>2.7112400000000001</v>
      </c>
      <c r="S17" s="7">
        <v>17.187329999999999</v>
      </c>
      <c r="T17" s="5">
        <v>90</v>
      </c>
      <c r="U17" s="4">
        <v>43269</v>
      </c>
      <c r="V17" s="5">
        <v>9900333496</v>
      </c>
      <c r="W17" s="6" t="s">
        <v>77</v>
      </c>
      <c r="X17" s="5" t="s">
        <v>58</v>
      </c>
      <c r="Y17" s="6" t="s">
        <v>57</v>
      </c>
      <c r="Z17" s="5" t="s">
        <v>88</v>
      </c>
      <c r="AA17" s="6" t="s">
        <v>89</v>
      </c>
      <c r="AB17" s="7">
        <v>0.19898569999999999</v>
      </c>
      <c r="AD17" s="8"/>
      <c r="AF17" s="8"/>
      <c r="AG17" s="8"/>
    </row>
    <row r="18" spans="1:33" x14ac:dyDescent="0.2">
      <c r="A18" s="12">
        <v>2275</v>
      </c>
      <c r="B18" s="13" t="s">
        <v>34</v>
      </c>
      <c r="C18" s="13">
        <v>43269</v>
      </c>
      <c r="D18" s="5">
        <v>67</v>
      </c>
      <c r="E18" s="6" t="s">
        <v>85</v>
      </c>
      <c r="F18" s="5" t="s">
        <v>124</v>
      </c>
      <c r="G18" s="6" t="s">
        <v>125</v>
      </c>
      <c r="H18" s="5" t="str">
        <f>"000232"</f>
        <v>000232</v>
      </c>
      <c r="I18" s="4">
        <v>42601</v>
      </c>
      <c r="J18" s="5" t="str">
        <f>"000212"</f>
        <v>000212</v>
      </c>
      <c r="K18" s="4">
        <v>42632</v>
      </c>
      <c r="L18" s="5" t="str">
        <f>"000658"</f>
        <v>000658</v>
      </c>
      <c r="M18" s="4">
        <v>42633</v>
      </c>
      <c r="N18" s="5">
        <v>17</v>
      </c>
      <c r="O18" s="5" t="str">
        <f>"002357"</f>
        <v>002357</v>
      </c>
      <c r="P18" s="4">
        <v>43262</v>
      </c>
      <c r="Q18" s="7">
        <v>19.551200000000001</v>
      </c>
      <c r="R18" s="7">
        <v>2.6109300000000002</v>
      </c>
      <c r="S18" s="7">
        <v>16.940270000000002</v>
      </c>
      <c r="T18" s="5">
        <v>90</v>
      </c>
      <c r="U18" s="4">
        <v>43269</v>
      </c>
      <c r="V18" s="5">
        <v>9900333496</v>
      </c>
      <c r="W18" s="6" t="s">
        <v>77</v>
      </c>
      <c r="X18" s="5" t="s">
        <v>79</v>
      </c>
      <c r="Y18" s="6" t="s">
        <v>80</v>
      </c>
      <c r="Z18" s="5" t="s">
        <v>88</v>
      </c>
      <c r="AA18" s="6" t="s">
        <v>89</v>
      </c>
      <c r="AB18" s="7">
        <v>0.19551200000000002</v>
      </c>
      <c r="AD18" s="8"/>
      <c r="AF18" s="8"/>
      <c r="AG18" s="8"/>
    </row>
    <row r="19" spans="1:33" x14ac:dyDescent="0.2">
      <c r="A19" s="12">
        <v>2276</v>
      </c>
      <c r="B19" s="13" t="s">
        <v>34</v>
      </c>
      <c r="C19" s="13">
        <v>43269</v>
      </c>
      <c r="D19" s="5">
        <v>67</v>
      </c>
      <c r="E19" s="6" t="s">
        <v>85</v>
      </c>
      <c r="F19" s="5" t="s">
        <v>126</v>
      </c>
      <c r="G19" s="6" t="s">
        <v>127</v>
      </c>
      <c r="H19" s="5" t="str">
        <f>"000141"</f>
        <v>000141</v>
      </c>
      <c r="I19" s="4">
        <v>42550</v>
      </c>
      <c r="J19" s="5" t="str">
        <f>"0207"</f>
        <v>0207</v>
      </c>
      <c r="K19" s="4">
        <v>1</v>
      </c>
      <c r="L19" s="5" t="str">
        <f>"000659"</f>
        <v>000659</v>
      </c>
      <c r="M19" s="4">
        <v>42633</v>
      </c>
      <c r="N19" s="5">
        <v>16</v>
      </c>
      <c r="O19" s="5" t="str">
        <f>"002358"</f>
        <v>002358</v>
      </c>
      <c r="P19" s="4">
        <v>43262</v>
      </c>
      <c r="Q19" s="7">
        <v>19.903680000000001</v>
      </c>
      <c r="R19" s="7">
        <v>2.71157</v>
      </c>
      <c r="S19" s="7">
        <v>17.19211</v>
      </c>
      <c r="T19" s="5">
        <v>90</v>
      </c>
      <c r="U19" s="4">
        <v>43269</v>
      </c>
      <c r="V19" s="5">
        <v>9900333496</v>
      </c>
      <c r="W19" s="6" t="s">
        <v>77</v>
      </c>
      <c r="X19" s="5" t="s">
        <v>58</v>
      </c>
      <c r="Y19" s="6" t="s">
        <v>57</v>
      </c>
      <c r="Z19" s="5" t="s">
        <v>88</v>
      </c>
      <c r="AA19" s="6" t="s">
        <v>89</v>
      </c>
      <c r="AB19" s="7">
        <v>0.19903680000000001</v>
      </c>
      <c r="AD19" s="8"/>
      <c r="AF19" s="8"/>
      <c r="AG19" s="8"/>
    </row>
    <row r="20" spans="1:33" x14ac:dyDescent="0.2">
      <c r="A20" s="12">
        <v>2277</v>
      </c>
      <c r="B20" s="13" t="s">
        <v>34</v>
      </c>
      <c r="C20" s="13">
        <v>43269</v>
      </c>
      <c r="D20" s="5">
        <v>67</v>
      </c>
      <c r="E20" s="6" t="s">
        <v>85</v>
      </c>
      <c r="F20" s="5" t="s">
        <v>128</v>
      </c>
      <c r="G20" s="6" t="s">
        <v>129</v>
      </c>
      <c r="H20" s="5" t="str">
        <f>"000145"</f>
        <v>000145</v>
      </c>
      <c r="I20" s="4">
        <v>42550</v>
      </c>
      <c r="J20" s="5" t="str">
        <f>"000207"</f>
        <v>000207</v>
      </c>
      <c r="K20" s="4">
        <v>42632</v>
      </c>
      <c r="L20" s="5" t="str">
        <f>"000660"</f>
        <v>000660</v>
      </c>
      <c r="M20" s="4">
        <v>42633</v>
      </c>
      <c r="N20" s="5">
        <v>16</v>
      </c>
      <c r="O20" s="5" t="str">
        <f>"002359"</f>
        <v>002359</v>
      </c>
      <c r="P20" s="4">
        <v>43262</v>
      </c>
      <c r="Q20" s="7">
        <v>19.859310000000001</v>
      </c>
      <c r="R20" s="7">
        <v>2.7065299999999999</v>
      </c>
      <c r="S20" s="7">
        <v>17.15278</v>
      </c>
      <c r="T20" s="5">
        <v>90</v>
      </c>
      <c r="U20" s="4">
        <v>43269</v>
      </c>
      <c r="V20" s="5">
        <v>9900333496</v>
      </c>
      <c r="W20" s="6" t="s">
        <v>77</v>
      </c>
      <c r="X20" s="5" t="s">
        <v>58</v>
      </c>
      <c r="Y20" s="6" t="s">
        <v>57</v>
      </c>
      <c r="Z20" s="5" t="s">
        <v>88</v>
      </c>
      <c r="AA20" s="6" t="s">
        <v>89</v>
      </c>
      <c r="AB20" s="7">
        <v>0.19859309999999999</v>
      </c>
      <c r="AD20" s="8"/>
      <c r="AF20" s="8"/>
      <c r="AG20" s="8"/>
    </row>
    <row r="21" spans="1:33" x14ac:dyDescent="0.2">
      <c r="A21" s="12">
        <v>2278</v>
      </c>
      <c r="B21" s="13" t="s">
        <v>34</v>
      </c>
      <c r="C21" s="13">
        <v>43269</v>
      </c>
      <c r="D21" s="5">
        <v>67</v>
      </c>
      <c r="E21" s="6" t="s">
        <v>85</v>
      </c>
      <c r="F21" s="5" t="s">
        <v>130</v>
      </c>
      <c r="G21" s="6" t="s">
        <v>131</v>
      </c>
      <c r="H21" s="5" t="str">
        <f>"000233"</f>
        <v>000233</v>
      </c>
      <c r="I21" s="4">
        <v>42601</v>
      </c>
      <c r="J21" s="5" t="str">
        <f>"000208"</f>
        <v>000208</v>
      </c>
      <c r="K21" s="4">
        <v>42632</v>
      </c>
      <c r="L21" s="5" t="str">
        <f>"000661"</f>
        <v>000661</v>
      </c>
      <c r="M21" s="4">
        <v>42633</v>
      </c>
      <c r="N21" s="5">
        <v>17</v>
      </c>
      <c r="O21" s="5" t="str">
        <f>"002360"</f>
        <v>002360</v>
      </c>
      <c r="P21" s="4">
        <v>43262</v>
      </c>
      <c r="Q21" s="7">
        <v>14.65353</v>
      </c>
      <c r="R21" s="7">
        <v>2.0065499999999998</v>
      </c>
      <c r="S21" s="7">
        <v>12.646979999999999</v>
      </c>
      <c r="T21" s="5">
        <v>90</v>
      </c>
      <c r="U21" s="4">
        <v>43269</v>
      </c>
      <c r="V21" s="5">
        <v>9900333496</v>
      </c>
      <c r="W21" s="6" t="s">
        <v>77</v>
      </c>
      <c r="X21" s="5" t="s">
        <v>79</v>
      </c>
      <c r="Y21" s="6" t="s">
        <v>80</v>
      </c>
      <c r="Z21" s="5" t="s">
        <v>88</v>
      </c>
      <c r="AA21" s="6" t="s">
        <v>89</v>
      </c>
      <c r="AB21" s="7">
        <v>0.14653530000000001</v>
      </c>
      <c r="AD21" s="8"/>
      <c r="AF21" s="8"/>
      <c r="AG21" s="8"/>
    </row>
    <row r="22" spans="1:33" x14ac:dyDescent="0.2">
      <c r="A22" s="12">
        <v>2279</v>
      </c>
      <c r="B22" s="13" t="s">
        <v>34</v>
      </c>
      <c r="C22" s="13">
        <v>43269</v>
      </c>
      <c r="D22" s="5">
        <v>67</v>
      </c>
      <c r="E22" s="6" t="s">
        <v>85</v>
      </c>
      <c r="F22" s="5" t="s">
        <v>132</v>
      </c>
      <c r="G22" s="6" t="s">
        <v>133</v>
      </c>
      <c r="H22" s="5" t="str">
        <f>"000083"</f>
        <v>000083</v>
      </c>
      <c r="I22" s="4">
        <v>41863</v>
      </c>
      <c r="J22" s="5" t="str">
        <f>"000222"</f>
        <v>000222</v>
      </c>
      <c r="K22" s="4">
        <v>42632</v>
      </c>
      <c r="L22" s="5" t="str">
        <f>"000694"</f>
        <v>000694</v>
      </c>
      <c r="M22" s="4">
        <v>42633</v>
      </c>
      <c r="N22" s="5">
        <v>14</v>
      </c>
      <c r="O22" s="5" t="str">
        <f>"002389"</f>
        <v>002389</v>
      </c>
      <c r="P22" s="4">
        <v>43262</v>
      </c>
      <c r="Q22" s="7">
        <v>14.848100000000001</v>
      </c>
      <c r="R22" s="7">
        <v>2.0956100000000002</v>
      </c>
      <c r="S22" s="7">
        <v>12.75249</v>
      </c>
      <c r="T22" s="5">
        <v>90</v>
      </c>
      <c r="U22" s="4">
        <v>43269</v>
      </c>
      <c r="V22" s="5">
        <v>9900333496</v>
      </c>
      <c r="W22" s="6" t="s">
        <v>78</v>
      </c>
      <c r="X22" s="5" t="s">
        <v>58</v>
      </c>
      <c r="Y22" s="6" t="s">
        <v>57</v>
      </c>
      <c r="Z22" s="5" t="s">
        <v>88</v>
      </c>
      <c r="AA22" s="6" t="s">
        <v>89</v>
      </c>
      <c r="AB22" s="7">
        <v>0.148481</v>
      </c>
      <c r="AD22" s="8"/>
      <c r="AF22" s="8"/>
      <c r="AG22" s="8"/>
    </row>
    <row r="23" spans="1:33" x14ac:dyDescent="0.2">
      <c r="A23" s="12">
        <v>2280</v>
      </c>
      <c r="B23" s="13" t="s">
        <v>34</v>
      </c>
      <c r="C23" s="13">
        <v>43269</v>
      </c>
      <c r="D23" s="5">
        <v>67</v>
      </c>
      <c r="E23" s="6" t="s">
        <v>85</v>
      </c>
      <c r="F23" s="5" t="s">
        <v>134</v>
      </c>
      <c r="G23" s="6" t="s">
        <v>135</v>
      </c>
      <c r="H23" s="5" t="str">
        <f>"000312"</f>
        <v>000312</v>
      </c>
      <c r="I23" s="4">
        <v>41696</v>
      </c>
      <c r="J23" s="5" t="str">
        <f>"000221"</f>
        <v>000221</v>
      </c>
      <c r="K23" s="4">
        <v>42632</v>
      </c>
      <c r="L23" s="5" t="str">
        <f>"000695"</f>
        <v>000695</v>
      </c>
      <c r="M23" s="4">
        <v>42633</v>
      </c>
      <c r="N23" s="5">
        <v>14</v>
      </c>
      <c r="O23" s="5" t="str">
        <f>"002390"</f>
        <v>002390</v>
      </c>
      <c r="P23" s="4">
        <v>43262</v>
      </c>
      <c r="Q23" s="7">
        <v>24.767949999999999</v>
      </c>
      <c r="R23" s="7">
        <v>3.5057700000000001</v>
      </c>
      <c r="S23" s="7">
        <v>21.262180000000001</v>
      </c>
      <c r="T23" s="5">
        <v>90</v>
      </c>
      <c r="U23" s="4">
        <v>43269</v>
      </c>
      <c r="V23" s="5">
        <v>9900333496</v>
      </c>
      <c r="W23" s="6" t="s">
        <v>78</v>
      </c>
      <c r="X23" s="5" t="s">
        <v>83</v>
      </c>
      <c r="Y23" s="6" t="s">
        <v>84</v>
      </c>
      <c r="Z23" s="5" t="s">
        <v>88</v>
      </c>
      <c r="AA23" s="6" t="s">
        <v>89</v>
      </c>
      <c r="AB23" s="7">
        <v>0.2476795</v>
      </c>
      <c r="AD23" s="8"/>
      <c r="AF23" s="8"/>
      <c r="AG23" s="8"/>
    </row>
    <row r="24" spans="1:33" x14ac:dyDescent="0.2">
      <c r="A24" s="12">
        <v>2281</v>
      </c>
      <c r="B24" s="13" t="s">
        <v>34</v>
      </c>
      <c r="C24" s="13">
        <v>43269</v>
      </c>
      <c r="D24" s="5">
        <v>67</v>
      </c>
      <c r="E24" s="6" t="s">
        <v>85</v>
      </c>
      <c r="F24" s="5" t="s">
        <v>136</v>
      </c>
      <c r="G24" s="6" t="s">
        <v>137</v>
      </c>
      <c r="H24" s="5" t="str">
        <f>"000011"</f>
        <v>000011</v>
      </c>
      <c r="I24" s="4">
        <v>42117</v>
      </c>
      <c r="J24" s="5" t="str">
        <f>"000230"</f>
        <v>000230</v>
      </c>
      <c r="K24" s="4">
        <v>42632</v>
      </c>
      <c r="L24" s="5" t="str">
        <f>"000701"</f>
        <v>000701</v>
      </c>
      <c r="M24" s="4">
        <v>42633</v>
      </c>
      <c r="N24" s="5">
        <v>15</v>
      </c>
      <c r="O24" s="5" t="str">
        <f>"002391"</f>
        <v>002391</v>
      </c>
      <c r="P24" s="4">
        <v>43262</v>
      </c>
      <c r="Q24" s="7">
        <v>83.759640000000005</v>
      </c>
      <c r="R24" s="7">
        <v>11.766019999999999</v>
      </c>
      <c r="S24" s="7">
        <v>71.993620000000007</v>
      </c>
      <c r="T24" s="5">
        <v>90</v>
      </c>
      <c r="U24" s="4">
        <v>43269</v>
      </c>
      <c r="V24" s="5">
        <v>9900333496</v>
      </c>
      <c r="W24" s="6" t="s">
        <v>78</v>
      </c>
      <c r="X24" s="5" t="s">
        <v>58</v>
      </c>
      <c r="Y24" s="6" t="s">
        <v>57</v>
      </c>
      <c r="Z24" s="5" t="s">
        <v>88</v>
      </c>
      <c r="AA24" s="6" t="s">
        <v>89</v>
      </c>
      <c r="AB24" s="7">
        <v>0.83759640000000002</v>
      </c>
      <c r="AD24" s="8"/>
      <c r="AF24" s="8"/>
      <c r="AG24" s="8"/>
    </row>
    <row r="25" spans="1:33" x14ac:dyDescent="0.2">
      <c r="A25" s="12">
        <v>2282</v>
      </c>
      <c r="B25" s="13" t="s">
        <v>34</v>
      </c>
      <c r="C25" s="13">
        <v>43269</v>
      </c>
      <c r="D25" s="5">
        <v>67</v>
      </c>
      <c r="E25" s="6" t="s">
        <v>85</v>
      </c>
      <c r="F25" s="5" t="s">
        <v>138</v>
      </c>
      <c r="G25" s="6" t="s">
        <v>139</v>
      </c>
      <c r="H25" s="5" t="str">
        <f>"000361"</f>
        <v>000361</v>
      </c>
      <c r="I25" s="4">
        <v>42046</v>
      </c>
      <c r="J25" s="5" t="str">
        <f>"000226"</f>
        <v>000226</v>
      </c>
      <c r="K25" s="4">
        <v>42632</v>
      </c>
      <c r="L25" s="5" t="str">
        <f>"000702"</f>
        <v>000702</v>
      </c>
      <c r="M25" s="4">
        <v>42633</v>
      </c>
      <c r="N25" s="5">
        <v>13</v>
      </c>
      <c r="O25" s="5" t="str">
        <f>"002392"</f>
        <v>002392</v>
      </c>
      <c r="P25" s="4">
        <v>43262</v>
      </c>
      <c r="Q25" s="7">
        <v>4.6873300000000002</v>
      </c>
      <c r="R25" s="7">
        <v>0.59855000000000003</v>
      </c>
      <c r="S25" s="7">
        <v>4.0887799999999999</v>
      </c>
      <c r="T25" s="5">
        <v>90</v>
      </c>
      <c r="U25" s="4">
        <v>43269</v>
      </c>
      <c r="V25" s="5">
        <v>0</v>
      </c>
      <c r="W25" s="6" t="s">
        <v>140</v>
      </c>
      <c r="X25" s="5" t="s">
        <v>29</v>
      </c>
      <c r="Y25" s="6" t="s">
        <v>30</v>
      </c>
      <c r="Z25" s="5" t="s">
        <v>88</v>
      </c>
      <c r="AA25" s="6" t="s">
        <v>89</v>
      </c>
      <c r="AB25" s="7">
        <v>4.68733E-2</v>
      </c>
      <c r="AD25" s="8"/>
      <c r="AF25" s="8"/>
      <c r="AG25" s="8"/>
    </row>
    <row r="26" spans="1:33" x14ac:dyDescent="0.2">
      <c r="A26" s="12">
        <v>2283</v>
      </c>
      <c r="B26" s="13" t="s">
        <v>34</v>
      </c>
      <c r="C26" s="13">
        <v>43269</v>
      </c>
      <c r="D26" s="5">
        <v>67</v>
      </c>
      <c r="E26" s="6" t="s">
        <v>85</v>
      </c>
      <c r="F26" s="5" t="s">
        <v>141</v>
      </c>
      <c r="G26" s="6" t="s">
        <v>142</v>
      </c>
      <c r="H26" s="5" t="str">
        <f>"000360"</f>
        <v>000360</v>
      </c>
      <c r="I26" s="4">
        <v>42046</v>
      </c>
      <c r="J26" s="5" t="str">
        <f>"000225"</f>
        <v>000225</v>
      </c>
      <c r="K26" s="4">
        <v>42632</v>
      </c>
      <c r="L26" s="5" t="str">
        <f>"000704"</f>
        <v>000704</v>
      </c>
      <c r="M26" s="4">
        <v>42633</v>
      </c>
      <c r="N26" s="5">
        <v>13</v>
      </c>
      <c r="O26" s="5" t="str">
        <f>"002393"</f>
        <v>002393</v>
      </c>
      <c r="P26" s="4">
        <v>43262</v>
      </c>
      <c r="Q26" s="7">
        <v>4.9555899999999999</v>
      </c>
      <c r="R26" s="7">
        <v>0.62994000000000006</v>
      </c>
      <c r="S26" s="7">
        <v>4.3256500000000004</v>
      </c>
      <c r="T26" s="5">
        <v>90</v>
      </c>
      <c r="U26" s="4">
        <v>43269</v>
      </c>
      <c r="V26" s="5">
        <v>0</v>
      </c>
      <c r="W26" s="6" t="s">
        <v>140</v>
      </c>
      <c r="X26" s="5" t="s">
        <v>29</v>
      </c>
      <c r="Y26" s="6" t="s">
        <v>30</v>
      </c>
      <c r="Z26" s="5" t="s">
        <v>88</v>
      </c>
      <c r="AA26" s="6" t="s">
        <v>89</v>
      </c>
      <c r="AB26" s="7">
        <v>4.95559E-2</v>
      </c>
      <c r="AD26" s="8"/>
      <c r="AF26" s="8"/>
      <c r="AG26" s="8"/>
    </row>
    <row r="27" spans="1:33" x14ac:dyDescent="0.2">
      <c r="A27" s="12">
        <v>2536</v>
      </c>
      <c r="B27" s="13" t="s">
        <v>34</v>
      </c>
      <c r="C27" s="13">
        <v>43274</v>
      </c>
      <c r="D27" s="5">
        <v>67</v>
      </c>
      <c r="E27" s="6" t="s">
        <v>85</v>
      </c>
      <c r="F27" s="5" t="s">
        <v>143</v>
      </c>
      <c r="G27" s="6" t="s">
        <v>144</v>
      </c>
      <c r="H27" s="5" t="str">
        <f>"000569"</f>
        <v>000569</v>
      </c>
      <c r="I27" s="4">
        <v>41349</v>
      </c>
      <c r="J27" s="5" t="str">
        <f>"000223"</f>
        <v>000223</v>
      </c>
      <c r="K27" s="4">
        <v>42632</v>
      </c>
      <c r="L27" s="5" t="str">
        <f>"000696"</f>
        <v>000696</v>
      </c>
      <c r="M27" s="4">
        <v>42633</v>
      </c>
      <c r="N27" s="5">
        <v>13</v>
      </c>
      <c r="O27" s="5" t="str">
        <f>"002621"</f>
        <v>002621</v>
      </c>
      <c r="P27" s="4">
        <v>43269</v>
      </c>
      <c r="Q27" s="7">
        <v>9.8190000000000008</v>
      </c>
      <c r="R27" s="7">
        <v>1.3020099999999999</v>
      </c>
      <c r="S27" s="7">
        <v>8.5169899999999998</v>
      </c>
      <c r="T27" s="5">
        <v>99</v>
      </c>
      <c r="U27" s="4">
        <v>43274</v>
      </c>
      <c r="V27" s="5">
        <v>9900333496</v>
      </c>
      <c r="W27" s="6" t="s">
        <v>77</v>
      </c>
      <c r="X27" s="5" t="s">
        <v>72</v>
      </c>
      <c r="Y27" s="6" t="s">
        <v>73</v>
      </c>
      <c r="Z27" s="5" t="s">
        <v>88</v>
      </c>
      <c r="AA27" s="6" t="s">
        <v>89</v>
      </c>
      <c r="AB27" s="7">
        <v>9.8190000000000013E-2</v>
      </c>
      <c r="AD27" s="8"/>
      <c r="AF27" s="8"/>
      <c r="AG27" s="8"/>
    </row>
    <row r="28" spans="1:33" x14ac:dyDescent="0.2">
      <c r="A28" s="12">
        <v>2537</v>
      </c>
      <c r="B28" s="13" t="s">
        <v>34</v>
      </c>
      <c r="C28" s="13">
        <v>43274</v>
      </c>
      <c r="D28" s="5">
        <v>67</v>
      </c>
      <c r="E28" s="6" t="s">
        <v>85</v>
      </c>
      <c r="F28" s="5" t="s">
        <v>145</v>
      </c>
      <c r="G28" s="6" t="s">
        <v>146</v>
      </c>
      <c r="H28" s="5" t="str">
        <f>"000010"</f>
        <v>000010</v>
      </c>
      <c r="I28" s="4">
        <v>42117</v>
      </c>
      <c r="J28" s="5" t="str">
        <f>"000227"</f>
        <v>000227</v>
      </c>
      <c r="K28" s="4">
        <v>42632</v>
      </c>
      <c r="L28" s="5" t="str">
        <f>"000703"</f>
        <v>000703</v>
      </c>
      <c r="M28" s="4">
        <v>42633</v>
      </c>
      <c r="N28" s="5">
        <v>15</v>
      </c>
      <c r="O28" s="5" t="str">
        <f>"002622"</f>
        <v>002622</v>
      </c>
      <c r="P28" s="4">
        <v>43269</v>
      </c>
      <c r="Q28" s="7">
        <v>99.030150000000006</v>
      </c>
      <c r="R28" s="7">
        <v>13.725899999999999</v>
      </c>
      <c r="S28" s="7">
        <v>85.304249999999996</v>
      </c>
      <c r="T28" s="5">
        <v>99</v>
      </c>
      <c r="U28" s="4">
        <v>43274</v>
      </c>
      <c r="V28" s="5">
        <v>9900333496</v>
      </c>
      <c r="W28" s="6" t="s">
        <v>77</v>
      </c>
      <c r="X28" s="5" t="s">
        <v>58</v>
      </c>
      <c r="Y28" s="6" t="s">
        <v>57</v>
      </c>
      <c r="Z28" s="5" t="s">
        <v>88</v>
      </c>
      <c r="AA28" s="6" t="s">
        <v>89</v>
      </c>
      <c r="AB28" s="7">
        <v>0.99030150000000006</v>
      </c>
      <c r="AD28" s="8"/>
      <c r="AF28" s="8"/>
      <c r="AG28" s="8"/>
    </row>
    <row r="29" spans="1:33" x14ac:dyDescent="0.2">
      <c r="A29" s="12">
        <v>2538</v>
      </c>
      <c r="B29" s="13" t="s">
        <v>34</v>
      </c>
      <c r="C29" s="13">
        <v>43274</v>
      </c>
      <c r="D29" s="5">
        <v>67</v>
      </c>
      <c r="E29" s="6" t="s">
        <v>85</v>
      </c>
      <c r="F29" s="5" t="s">
        <v>143</v>
      </c>
      <c r="G29" s="6" t="s">
        <v>144</v>
      </c>
      <c r="H29" s="5" t="str">
        <f>"000569"</f>
        <v>000569</v>
      </c>
      <c r="I29" s="4">
        <v>41349</v>
      </c>
      <c r="J29" s="5" t="str">
        <f>"000223"</f>
        <v>000223</v>
      </c>
      <c r="K29" s="4">
        <v>42632</v>
      </c>
      <c r="L29" s="5" t="str">
        <f>"000696"</f>
        <v>000696</v>
      </c>
      <c r="M29" s="4">
        <v>42633</v>
      </c>
      <c r="N29" s="5">
        <v>13</v>
      </c>
      <c r="O29" s="5" t="str">
        <f>"002621"</f>
        <v>002621</v>
      </c>
      <c r="P29" s="4">
        <v>43269</v>
      </c>
      <c r="Q29" s="7">
        <v>9.8190000000000008</v>
      </c>
      <c r="R29" s="7">
        <v>1.3020099999999999</v>
      </c>
      <c r="S29" s="7">
        <v>8.5169899999999998</v>
      </c>
      <c r="T29" s="5">
        <v>99</v>
      </c>
      <c r="U29" s="4">
        <v>43274</v>
      </c>
      <c r="V29" s="5">
        <v>9900333496</v>
      </c>
      <c r="W29" s="6" t="s">
        <v>77</v>
      </c>
      <c r="X29" s="5" t="s">
        <v>72</v>
      </c>
      <c r="Y29" s="6" t="s">
        <v>73</v>
      </c>
      <c r="Z29" s="5" t="s">
        <v>88</v>
      </c>
      <c r="AA29" s="6" t="s">
        <v>89</v>
      </c>
      <c r="AB29" s="7">
        <v>9.8190000000000013E-2</v>
      </c>
      <c r="AD29" s="8"/>
      <c r="AF29" s="8"/>
      <c r="AG29" s="8"/>
    </row>
    <row r="30" spans="1:33" x14ac:dyDescent="0.2">
      <c r="A30" s="12">
        <v>2539</v>
      </c>
      <c r="B30" s="13" t="s">
        <v>34</v>
      </c>
      <c r="C30" s="13">
        <v>43274</v>
      </c>
      <c r="D30" s="5">
        <v>67</v>
      </c>
      <c r="E30" s="6" t="s">
        <v>85</v>
      </c>
      <c r="F30" s="5" t="s">
        <v>145</v>
      </c>
      <c r="G30" s="6" t="s">
        <v>146</v>
      </c>
      <c r="H30" s="5" t="str">
        <f>"000010"</f>
        <v>000010</v>
      </c>
      <c r="I30" s="4">
        <v>42117</v>
      </c>
      <c r="J30" s="5" t="str">
        <f>"000227"</f>
        <v>000227</v>
      </c>
      <c r="K30" s="4">
        <v>42632</v>
      </c>
      <c r="L30" s="5" t="str">
        <f>"000703"</f>
        <v>000703</v>
      </c>
      <c r="M30" s="4">
        <v>42633</v>
      </c>
      <c r="N30" s="5">
        <v>15</v>
      </c>
      <c r="O30" s="5" t="str">
        <f>"002622"</f>
        <v>002622</v>
      </c>
      <c r="P30" s="4">
        <v>43269</v>
      </c>
      <c r="Q30" s="7">
        <v>99.030150000000006</v>
      </c>
      <c r="R30" s="7">
        <v>13.725899999999999</v>
      </c>
      <c r="S30" s="7">
        <v>85.304249999999996</v>
      </c>
      <c r="T30" s="5">
        <v>99</v>
      </c>
      <c r="U30" s="4">
        <v>43274</v>
      </c>
      <c r="V30" s="5">
        <v>9900333496</v>
      </c>
      <c r="W30" s="6" t="s">
        <v>77</v>
      </c>
      <c r="X30" s="5" t="s">
        <v>58</v>
      </c>
      <c r="Y30" s="6" t="s">
        <v>57</v>
      </c>
      <c r="Z30" s="5" t="s">
        <v>88</v>
      </c>
      <c r="AA30" s="6" t="s">
        <v>89</v>
      </c>
      <c r="AB30" s="7">
        <v>0.99030150000000006</v>
      </c>
      <c r="AD30" s="8"/>
      <c r="AF30" s="8"/>
      <c r="AG30" s="8"/>
    </row>
    <row r="31" spans="1:33" x14ac:dyDescent="0.2">
      <c r="A31" s="12">
        <v>2703</v>
      </c>
      <c r="B31" s="13" t="s">
        <v>34</v>
      </c>
      <c r="C31" s="13">
        <v>43278</v>
      </c>
      <c r="D31" s="5">
        <v>67</v>
      </c>
      <c r="E31" s="6" t="s">
        <v>85</v>
      </c>
      <c r="F31" s="5" t="s">
        <v>147</v>
      </c>
      <c r="G31" s="6" t="s">
        <v>148</v>
      </c>
      <c r="H31" s="5" t="str">
        <f>"000354"</f>
        <v>000354</v>
      </c>
      <c r="I31" s="4">
        <v>43179</v>
      </c>
      <c r="J31" s="5" t="str">
        <f>"000033"</f>
        <v>000033</v>
      </c>
      <c r="K31" s="4">
        <v>43258</v>
      </c>
      <c r="L31" s="5" t="str">
        <f>"000083"</f>
        <v>000083</v>
      </c>
      <c r="M31" s="4">
        <v>43258</v>
      </c>
      <c r="N31" s="5">
        <v>17</v>
      </c>
      <c r="O31" s="5" t="str">
        <f>"003053"</f>
        <v>003053</v>
      </c>
      <c r="P31" s="4">
        <v>43277</v>
      </c>
      <c r="Q31" s="7">
        <v>99.963149999999999</v>
      </c>
      <c r="R31" s="7">
        <v>9.6793499999999995</v>
      </c>
      <c r="S31" s="7">
        <v>90.283799999999999</v>
      </c>
      <c r="T31" s="5">
        <v>102</v>
      </c>
      <c r="U31" s="4">
        <v>43278</v>
      </c>
      <c r="V31" s="5">
        <v>9900333496</v>
      </c>
      <c r="W31" s="6" t="s">
        <v>74</v>
      </c>
      <c r="X31" s="5" t="s">
        <v>37</v>
      </c>
      <c r="Y31" s="6" t="s">
        <v>38</v>
      </c>
      <c r="Z31" s="5" t="s">
        <v>88</v>
      </c>
      <c r="AA31" s="6" t="s">
        <v>89</v>
      </c>
      <c r="AB31" s="7">
        <v>0.99963150000000001</v>
      </c>
      <c r="AD31" s="8"/>
      <c r="AF31" s="8"/>
      <c r="AG31" s="8"/>
    </row>
    <row r="32" spans="1:33" x14ac:dyDescent="0.2">
      <c r="A32" s="12">
        <v>2840</v>
      </c>
      <c r="B32" s="13" t="s">
        <v>31</v>
      </c>
      <c r="C32" s="13">
        <v>43283</v>
      </c>
      <c r="D32" s="5">
        <v>67</v>
      </c>
      <c r="E32" s="6" t="s">
        <v>85</v>
      </c>
      <c r="F32" s="5" t="s">
        <v>149</v>
      </c>
      <c r="G32" s="6" t="s">
        <v>150</v>
      </c>
      <c r="H32" s="5" t="str">
        <f>"000319"</f>
        <v>000319</v>
      </c>
      <c r="I32" s="4">
        <v>42627</v>
      </c>
      <c r="J32" s="5" t="str">
        <f>"000035"</f>
        <v>000035</v>
      </c>
      <c r="K32" s="4">
        <v>43263</v>
      </c>
      <c r="L32" s="5" t="str">
        <f>"000088"</f>
        <v>000088</v>
      </c>
      <c r="M32" s="4">
        <v>43263</v>
      </c>
      <c r="N32" s="5">
        <v>17</v>
      </c>
      <c r="O32" s="5" t="str">
        <f>"002982"</f>
        <v>002982</v>
      </c>
      <c r="P32" s="4">
        <v>43276</v>
      </c>
      <c r="Q32" s="7">
        <v>19.771629999999998</v>
      </c>
      <c r="R32" s="7">
        <v>1.8222700000000001</v>
      </c>
      <c r="S32" s="7">
        <v>17.949359999999999</v>
      </c>
      <c r="T32" s="5">
        <v>104</v>
      </c>
      <c r="U32" s="4">
        <v>43283</v>
      </c>
      <c r="V32" s="5">
        <v>9900333496</v>
      </c>
      <c r="W32" s="6" t="s">
        <v>77</v>
      </c>
      <c r="X32" s="5" t="s">
        <v>48</v>
      </c>
      <c r="Y32" s="6" t="s">
        <v>47</v>
      </c>
      <c r="Z32" s="5" t="s">
        <v>88</v>
      </c>
      <c r="AA32" s="6" t="s">
        <v>89</v>
      </c>
      <c r="AB32" s="7">
        <v>0.19771629999999998</v>
      </c>
      <c r="AD32" s="8"/>
      <c r="AF32" s="8"/>
      <c r="AG32" s="8"/>
    </row>
    <row r="33" spans="1:33" x14ac:dyDescent="0.2">
      <c r="A33" s="12">
        <v>2841</v>
      </c>
      <c r="B33" s="13" t="s">
        <v>31</v>
      </c>
      <c r="C33" s="13">
        <v>43283</v>
      </c>
      <c r="D33" s="5">
        <v>67</v>
      </c>
      <c r="E33" s="6" t="s">
        <v>85</v>
      </c>
      <c r="F33" s="5" t="s">
        <v>151</v>
      </c>
      <c r="G33" s="6" t="s">
        <v>152</v>
      </c>
      <c r="H33" s="5" t="str">
        <f>"000325"</f>
        <v>000325</v>
      </c>
      <c r="I33" s="4">
        <v>42627</v>
      </c>
      <c r="J33" s="5" t="str">
        <f>"000034"</f>
        <v>000034</v>
      </c>
      <c r="K33" s="4">
        <v>43259</v>
      </c>
      <c r="L33" s="5" t="str">
        <f>"000086"</f>
        <v>000086</v>
      </c>
      <c r="M33" s="4">
        <v>43262</v>
      </c>
      <c r="N33" s="5">
        <v>17</v>
      </c>
      <c r="O33" s="5" t="str">
        <f>"003110"</f>
        <v>003110</v>
      </c>
      <c r="P33" s="4">
        <v>43280</v>
      </c>
      <c r="Q33" s="7">
        <v>19.771629999999998</v>
      </c>
      <c r="R33" s="7">
        <v>1.82806</v>
      </c>
      <c r="S33" s="7">
        <v>17.943570000000001</v>
      </c>
      <c r="T33" s="5">
        <v>104</v>
      </c>
      <c r="U33" s="4">
        <v>43283</v>
      </c>
      <c r="V33" s="5">
        <v>9900333496</v>
      </c>
      <c r="W33" s="6" t="s">
        <v>74</v>
      </c>
      <c r="X33" s="5" t="s">
        <v>48</v>
      </c>
      <c r="Y33" s="6" t="s">
        <v>47</v>
      </c>
      <c r="Z33" s="5" t="s">
        <v>88</v>
      </c>
      <c r="AA33" s="6" t="s">
        <v>89</v>
      </c>
      <c r="AB33" s="7">
        <v>0.19771629999999998</v>
      </c>
      <c r="AD33" s="8"/>
      <c r="AF33" s="8"/>
      <c r="AG33" s="8"/>
    </row>
    <row r="34" spans="1:33" x14ac:dyDescent="0.2">
      <c r="A34" s="12">
        <v>2842</v>
      </c>
      <c r="B34" s="13" t="s">
        <v>31</v>
      </c>
      <c r="C34" s="13">
        <v>43283</v>
      </c>
      <c r="D34" s="5">
        <v>67</v>
      </c>
      <c r="E34" s="6" t="s">
        <v>85</v>
      </c>
      <c r="F34" s="5" t="s">
        <v>153</v>
      </c>
      <c r="G34" s="6" t="s">
        <v>154</v>
      </c>
      <c r="H34" s="5" t="str">
        <f>"000111"</f>
        <v>000111</v>
      </c>
      <c r="I34" s="4">
        <v>42544</v>
      </c>
      <c r="J34" s="5" t="str">
        <f>"000143"</f>
        <v>000143</v>
      </c>
      <c r="K34" s="4">
        <v>42916</v>
      </c>
      <c r="L34" s="5" t="str">
        <f>"000388"</f>
        <v>000388</v>
      </c>
      <c r="M34" s="4">
        <v>42916</v>
      </c>
      <c r="N34" s="5">
        <v>16</v>
      </c>
      <c r="O34" s="5" t="str">
        <f>"003170"</f>
        <v>003170</v>
      </c>
      <c r="P34" s="4">
        <v>43280</v>
      </c>
      <c r="Q34" s="7">
        <v>19.834530000000001</v>
      </c>
      <c r="R34" s="7">
        <v>1.8065899999999999</v>
      </c>
      <c r="S34" s="7">
        <v>18.027940000000001</v>
      </c>
      <c r="T34" s="5">
        <v>107</v>
      </c>
      <c r="U34" s="4">
        <v>43283</v>
      </c>
      <c r="V34" s="5">
        <v>9900333496</v>
      </c>
      <c r="W34" s="6" t="s">
        <v>77</v>
      </c>
      <c r="X34" s="5" t="s">
        <v>79</v>
      </c>
      <c r="Y34" s="6" t="s">
        <v>80</v>
      </c>
      <c r="Z34" s="5" t="s">
        <v>88</v>
      </c>
      <c r="AA34" s="6" t="s">
        <v>89</v>
      </c>
      <c r="AB34" s="7">
        <v>0.1983453</v>
      </c>
      <c r="AD34" s="8"/>
      <c r="AF34" s="8"/>
      <c r="AG34" s="8"/>
    </row>
    <row r="35" spans="1:33" x14ac:dyDescent="0.2">
      <c r="A35" s="12">
        <v>3375</v>
      </c>
      <c r="B35" s="13" t="s">
        <v>31</v>
      </c>
      <c r="C35" s="13">
        <v>43298</v>
      </c>
      <c r="D35" s="5">
        <v>67</v>
      </c>
      <c r="E35" s="6" t="s">
        <v>85</v>
      </c>
      <c r="F35" s="5" t="s">
        <v>155</v>
      </c>
      <c r="G35" s="6" t="s">
        <v>156</v>
      </c>
      <c r="H35" s="5" t="str">
        <f>"000148"</f>
        <v>000148</v>
      </c>
      <c r="I35" s="4">
        <v>43134</v>
      </c>
      <c r="J35" s="5" t="str">
        <f>"000051"</f>
        <v>000051</v>
      </c>
      <c r="K35" s="4">
        <v>43266</v>
      </c>
      <c r="L35" s="5" t="str">
        <f>"000098"</f>
        <v>000098</v>
      </c>
      <c r="M35" s="4">
        <v>43269</v>
      </c>
      <c r="N35" s="5">
        <v>18</v>
      </c>
      <c r="O35" s="5" t="str">
        <f>"003333"</f>
        <v>003333</v>
      </c>
      <c r="P35" s="4">
        <v>43286</v>
      </c>
      <c r="Q35" s="7">
        <v>19.982890000000001</v>
      </c>
      <c r="R35" s="7">
        <v>2.32809</v>
      </c>
      <c r="S35" s="7">
        <v>17.654800000000002</v>
      </c>
      <c r="T35" s="5">
        <v>126</v>
      </c>
      <c r="U35" s="4">
        <v>43298</v>
      </c>
      <c r="V35" s="5">
        <v>9900333496</v>
      </c>
      <c r="W35" s="6" t="s">
        <v>74</v>
      </c>
      <c r="X35" s="5" t="s">
        <v>51</v>
      </c>
      <c r="Y35" s="6" t="s">
        <v>50</v>
      </c>
      <c r="Z35" s="5" t="s">
        <v>88</v>
      </c>
      <c r="AA35" s="6" t="s">
        <v>89</v>
      </c>
      <c r="AB35" s="7">
        <v>0.1998289</v>
      </c>
      <c r="AD35" s="8"/>
      <c r="AF35" s="8"/>
      <c r="AG35" s="8"/>
    </row>
    <row r="36" spans="1:33" x14ac:dyDescent="0.2">
      <c r="A36" s="12">
        <v>3376</v>
      </c>
      <c r="B36" s="13" t="s">
        <v>31</v>
      </c>
      <c r="C36" s="13">
        <v>43298</v>
      </c>
      <c r="D36" s="5">
        <v>67</v>
      </c>
      <c r="E36" s="6" t="s">
        <v>85</v>
      </c>
      <c r="F36" s="5" t="s">
        <v>157</v>
      </c>
      <c r="G36" s="6" t="s">
        <v>158</v>
      </c>
      <c r="H36" s="5" t="str">
        <f>"000146"</f>
        <v>000146</v>
      </c>
      <c r="I36" s="4">
        <v>43134</v>
      </c>
      <c r="J36" s="5" t="str">
        <f>"000049"</f>
        <v>000049</v>
      </c>
      <c r="K36" s="4">
        <v>43266</v>
      </c>
      <c r="L36" s="5" t="str">
        <f>"000100"</f>
        <v>000100</v>
      </c>
      <c r="M36" s="4">
        <v>43269</v>
      </c>
      <c r="N36" s="5">
        <v>18</v>
      </c>
      <c r="O36" s="5" t="str">
        <f>"003334"</f>
        <v>003334</v>
      </c>
      <c r="P36" s="4">
        <v>43286</v>
      </c>
      <c r="Q36" s="7">
        <v>19.98968</v>
      </c>
      <c r="R36" s="7">
        <v>2.3419599999999998</v>
      </c>
      <c r="S36" s="7">
        <v>17.64772</v>
      </c>
      <c r="T36" s="5">
        <v>126</v>
      </c>
      <c r="U36" s="4">
        <v>43298</v>
      </c>
      <c r="V36" s="5">
        <v>9900333496</v>
      </c>
      <c r="W36" s="6" t="s">
        <v>74</v>
      </c>
      <c r="X36" s="5" t="s">
        <v>51</v>
      </c>
      <c r="Y36" s="6" t="s">
        <v>50</v>
      </c>
      <c r="Z36" s="5" t="s">
        <v>88</v>
      </c>
      <c r="AA36" s="6" t="s">
        <v>89</v>
      </c>
      <c r="AB36" s="7">
        <v>0.19989679999999999</v>
      </c>
      <c r="AD36" s="8"/>
      <c r="AF36" s="8"/>
      <c r="AG36" s="8"/>
    </row>
    <row r="37" spans="1:33" x14ac:dyDescent="0.2">
      <c r="A37" s="12">
        <v>3377</v>
      </c>
      <c r="B37" s="13" t="s">
        <v>31</v>
      </c>
      <c r="C37" s="13">
        <v>43298</v>
      </c>
      <c r="D37" s="5">
        <v>67</v>
      </c>
      <c r="E37" s="6" t="s">
        <v>85</v>
      </c>
      <c r="F37" s="5" t="s">
        <v>159</v>
      </c>
      <c r="G37" s="6" t="s">
        <v>160</v>
      </c>
      <c r="H37" s="5" t="str">
        <f>"000145"</f>
        <v>000145</v>
      </c>
      <c r="I37" s="4">
        <v>43134</v>
      </c>
      <c r="J37" s="5" t="str">
        <f>"000048"</f>
        <v>000048</v>
      </c>
      <c r="K37" s="4">
        <v>43266</v>
      </c>
      <c r="L37" s="5" t="str">
        <f>"000101"</f>
        <v>000101</v>
      </c>
      <c r="M37" s="4">
        <v>43269</v>
      </c>
      <c r="N37" s="5">
        <v>18</v>
      </c>
      <c r="O37" s="5" t="str">
        <f>"003335"</f>
        <v>003335</v>
      </c>
      <c r="P37" s="4">
        <v>43286</v>
      </c>
      <c r="Q37" s="7">
        <v>19.918060000000001</v>
      </c>
      <c r="R37" s="7">
        <v>2.3746800000000001</v>
      </c>
      <c r="S37" s="7">
        <v>17.543379999999999</v>
      </c>
      <c r="T37" s="5">
        <v>126</v>
      </c>
      <c r="U37" s="4">
        <v>43298</v>
      </c>
      <c r="V37" s="5">
        <v>9900333496</v>
      </c>
      <c r="W37" s="6" t="s">
        <v>54</v>
      </c>
      <c r="X37" s="5" t="s">
        <v>51</v>
      </c>
      <c r="Y37" s="6" t="s">
        <v>50</v>
      </c>
      <c r="Z37" s="5" t="s">
        <v>88</v>
      </c>
      <c r="AA37" s="6" t="s">
        <v>89</v>
      </c>
      <c r="AB37" s="7">
        <v>0.19918060000000001</v>
      </c>
      <c r="AD37" s="8"/>
      <c r="AF37" s="8"/>
      <c r="AG37" s="8"/>
    </row>
    <row r="38" spans="1:33" x14ac:dyDescent="0.2">
      <c r="A38" s="12">
        <v>3378</v>
      </c>
      <c r="B38" s="13" t="s">
        <v>31</v>
      </c>
      <c r="C38" s="13">
        <v>43298</v>
      </c>
      <c r="D38" s="5">
        <v>67</v>
      </c>
      <c r="E38" s="6" t="s">
        <v>85</v>
      </c>
      <c r="F38" s="5" t="s">
        <v>161</v>
      </c>
      <c r="G38" s="6" t="s">
        <v>162</v>
      </c>
      <c r="H38" s="5" t="str">
        <f>"000147"</f>
        <v>000147</v>
      </c>
      <c r="I38" s="4">
        <v>43134</v>
      </c>
      <c r="J38" s="5" t="str">
        <f>"000053"</f>
        <v>000053</v>
      </c>
      <c r="K38" s="4">
        <v>43266</v>
      </c>
      <c r="L38" s="5" t="str">
        <f>"000104"</f>
        <v>000104</v>
      </c>
      <c r="M38" s="4">
        <v>43269</v>
      </c>
      <c r="N38" s="5">
        <v>18</v>
      </c>
      <c r="O38" s="5" t="str">
        <f>"003336"</f>
        <v>003336</v>
      </c>
      <c r="P38" s="4">
        <v>43286</v>
      </c>
      <c r="Q38" s="7">
        <v>19.98104</v>
      </c>
      <c r="R38" s="7">
        <v>2.3406600000000002</v>
      </c>
      <c r="S38" s="7">
        <v>17.64038</v>
      </c>
      <c r="T38" s="5">
        <v>126</v>
      </c>
      <c r="U38" s="4">
        <v>43298</v>
      </c>
      <c r="V38" s="5">
        <v>9900333496</v>
      </c>
      <c r="W38" s="6" t="s">
        <v>163</v>
      </c>
      <c r="X38" s="5" t="s">
        <v>51</v>
      </c>
      <c r="Y38" s="6" t="s">
        <v>50</v>
      </c>
      <c r="Z38" s="5" t="s">
        <v>88</v>
      </c>
      <c r="AA38" s="6" t="s">
        <v>89</v>
      </c>
      <c r="AB38" s="7">
        <v>0.1998104</v>
      </c>
      <c r="AD38" s="8"/>
      <c r="AF38" s="8"/>
      <c r="AG38" s="8"/>
    </row>
    <row r="39" spans="1:33" x14ac:dyDescent="0.2">
      <c r="A39" s="12">
        <v>3379</v>
      </c>
      <c r="B39" s="13" t="s">
        <v>31</v>
      </c>
      <c r="C39" s="13">
        <v>43298</v>
      </c>
      <c r="D39" s="5">
        <v>67</v>
      </c>
      <c r="E39" s="6" t="s">
        <v>85</v>
      </c>
      <c r="F39" s="5" t="s">
        <v>164</v>
      </c>
      <c r="G39" s="6" t="s">
        <v>165</v>
      </c>
      <c r="H39" s="5" t="str">
        <f>"000144"</f>
        <v>000144</v>
      </c>
      <c r="I39" s="4">
        <v>43134</v>
      </c>
      <c r="J39" s="5" t="str">
        <f>"000052"</f>
        <v>000052</v>
      </c>
      <c r="K39" s="4">
        <v>43266</v>
      </c>
      <c r="L39" s="5" t="str">
        <f>"000105"</f>
        <v>000105</v>
      </c>
      <c r="M39" s="4">
        <v>43269</v>
      </c>
      <c r="N39" s="5">
        <v>18</v>
      </c>
      <c r="O39" s="5" t="str">
        <f>"003337"</f>
        <v>003337</v>
      </c>
      <c r="P39" s="4">
        <v>43286</v>
      </c>
      <c r="Q39" s="7">
        <v>19.944800000000001</v>
      </c>
      <c r="R39" s="7">
        <v>2.3443000000000001</v>
      </c>
      <c r="S39" s="7">
        <v>17.6005</v>
      </c>
      <c r="T39" s="5">
        <v>126</v>
      </c>
      <c r="U39" s="4">
        <v>43298</v>
      </c>
      <c r="V39" s="5">
        <v>9900333496</v>
      </c>
      <c r="W39" s="6" t="s">
        <v>74</v>
      </c>
      <c r="X39" s="5" t="s">
        <v>51</v>
      </c>
      <c r="Y39" s="6" t="s">
        <v>50</v>
      </c>
      <c r="Z39" s="5" t="s">
        <v>88</v>
      </c>
      <c r="AA39" s="6" t="s">
        <v>89</v>
      </c>
      <c r="AB39" s="7">
        <v>0.19944800000000001</v>
      </c>
      <c r="AD39" s="8"/>
      <c r="AF39" s="8"/>
      <c r="AG39" s="8"/>
    </row>
    <row r="40" spans="1:33" x14ac:dyDescent="0.2">
      <c r="A40" s="12">
        <v>3490</v>
      </c>
      <c r="B40" s="13" t="s">
        <v>31</v>
      </c>
      <c r="C40" s="13">
        <v>43299</v>
      </c>
      <c r="D40" s="5">
        <v>67</v>
      </c>
      <c r="E40" s="6" t="s">
        <v>85</v>
      </c>
      <c r="F40" s="5" t="s">
        <v>166</v>
      </c>
      <c r="G40" s="6" t="s">
        <v>167</v>
      </c>
      <c r="H40" s="5" t="str">
        <f>"000080"</f>
        <v>000080</v>
      </c>
      <c r="I40" s="4">
        <v>42938</v>
      </c>
      <c r="J40" s="5" t="str">
        <f>"000004"</f>
        <v>000004</v>
      </c>
      <c r="K40" s="4">
        <v>42949</v>
      </c>
      <c r="L40" s="5" t="str">
        <f>"000006"</f>
        <v>000006</v>
      </c>
      <c r="M40" s="4">
        <v>42949</v>
      </c>
      <c r="N40" s="5">
        <v>17</v>
      </c>
      <c r="O40" s="5" t="str">
        <f>"003802"</f>
        <v>003802</v>
      </c>
      <c r="P40" s="4">
        <v>43294</v>
      </c>
      <c r="Q40" s="7">
        <v>24.60013</v>
      </c>
      <c r="R40" s="7">
        <v>3.3724099999999999</v>
      </c>
      <c r="S40" s="7">
        <v>21.227720000000001</v>
      </c>
      <c r="T40" s="5">
        <v>129</v>
      </c>
      <c r="U40" s="4">
        <v>43299</v>
      </c>
      <c r="V40" s="5">
        <v>9900333496</v>
      </c>
      <c r="W40" s="6" t="s">
        <v>74</v>
      </c>
      <c r="X40" s="5" t="s">
        <v>58</v>
      </c>
      <c r="Y40" s="6" t="s">
        <v>57</v>
      </c>
      <c r="Z40" s="5" t="s">
        <v>88</v>
      </c>
      <c r="AA40" s="6" t="s">
        <v>89</v>
      </c>
      <c r="AB40" s="7">
        <v>0.24600130000000001</v>
      </c>
      <c r="AD40" s="8"/>
      <c r="AF40" s="8"/>
      <c r="AG40" s="8"/>
    </row>
    <row r="41" spans="1:33" x14ac:dyDescent="0.2">
      <c r="A41" s="12">
        <v>3729</v>
      </c>
      <c r="B41" s="13" t="s">
        <v>31</v>
      </c>
      <c r="C41" s="13">
        <v>43301</v>
      </c>
      <c r="D41" s="5">
        <v>67</v>
      </c>
      <c r="E41" s="6" t="s">
        <v>85</v>
      </c>
      <c r="F41" s="5" t="s">
        <v>168</v>
      </c>
      <c r="G41" s="6" t="s">
        <v>169</v>
      </c>
      <c r="H41" s="5" t="str">
        <f>"000017"</f>
        <v>000017</v>
      </c>
      <c r="I41" s="4">
        <v>42935</v>
      </c>
      <c r="J41" s="5" t="str">
        <f>"000108"</f>
        <v>000108</v>
      </c>
      <c r="K41" s="4">
        <v>43173</v>
      </c>
      <c r="L41" s="5" t="str">
        <f>"000135"</f>
        <v>000135</v>
      </c>
      <c r="M41" s="4">
        <v>43173</v>
      </c>
      <c r="N41" s="5">
        <v>16</v>
      </c>
      <c r="O41" s="5" t="str">
        <f>"004037"</f>
        <v>004037</v>
      </c>
      <c r="P41" s="4">
        <v>43300</v>
      </c>
      <c r="Q41" s="7">
        <v>8.2776099999999992</v>
      </c>
      <c r="R41" s="7">
        <v>0.83601000000000003</v>
      </c>
      <c r="S41" s="7">
        <v>7.4416000000000002</v>
      </c>
      <c r="T41" s="5">
        <v>134</v>
      </c>
      <c r="U41" s="4">
        <v>43301</v>
      </c>
      <c r="V41" s="5">
        <v>9620096296</v>
      </c>
      <c r="W41" s="6" t="s">
        <v>82</v>
      </c>
      <c r="X41" s="5" t="s">
        <v>32</v>
      </c>
      <c r="Y41" s="6" t="s">
        <v>33</v>
      </c>
      <c r="Z41" s="5" t="s">
        <v>45</v>
      </c>
      <c r="AA41" s="6" t="s">
        <v>44</v>
      </c>
      <c r="AB41" s="7">
        <v>8.2776099999999991E-2</v>
      </c>
      <c r="AD41" s="8"/>
      <c r="AF41" s="8"/>
      <c r="AG41" s="8"/>
    </row>
    <row r="42" spans="1:33" x14ac:dyDescent="0.2">
      <c r="A42" s="12">
        <v>4279</v>
      </c>
      <c r="B42" s="13" t="s">
        <v>28</v>
      </c>
      <c r="C42" s="13">
        <v>43315</v>
      </c>
      <c r="D42" s="5">
        <v>67</v>
      </c>
      <c r="E42" s="6" t="s">
        <v>85</v>
      </c>
      <c r="F42" s="5" t="s">
        <v>170</v>
      </c>
      <c r="G42" s="6" t="s">
        <v>171</v>
      </c>
      <c r="H42" s="5" t="str">
        <f>"000234"</f>
        <v>000234</v>
      </c>
      <c r="I42" s="4">
        <v>42601</v>
      </c>
      <c r="J42" s="5" t="str">
        <f>"000333"</f>
        <v>000333</v>
      </c>
      <c r="K42" s="4">
        <v>42793</v>
      </c>
      <c r="L42" s="5" t="str">
        <f>"000935"</f>
        <v>000935</v>
      </c>
      <c r="M42" s="4">
        <v>42794</v>
      </c>
      <c r="N42" s="5">
        <v>17</v>
      </c>
      <c r="O42" s="5" t="str">
        <f>"004519"</f>
        <v>004519</v>
      </c>
      <c r="P42" s="4">
        <v>43309</v>
      </c>
      <c r="Q42" s="7">
        <v>19.357890000000001</v>
      </c>
      <c r="R42" s="7">
        <v>2.5952199999999999</v>
      </c>
      <c r="S42" s="7">
        <v>16.76267</v>
      </c>
      <c r="T42" s="5">
        <v>152</v>
      </c>
      <c r="U42" s="4">
        <v>43315</v>
      </c>
      <c r="V42" s="5">
        <v>9900033496</v>
      </c>
      <c r="W42" s="6" t="s">
        <v>78</v>
      </c>
      <c r="X42" s="5" t="s">
        <v>79</v>
      </c>
      <c r="Y42" s="6" t="s">
        <v>80</v>
      </c>
      <c r="Z42" s="5" t="s">
        <v>88</v>
      </c>
      <c r="AA42" s="6" t="s">
        <v>89</v>
      </c>
      <c r="AB42" s="7">
        <v>0.1935789</v>
      </c>
      <c r="AD42" s="8"/>
      <c r="AF42" s="8"/>
      <c r="AG42" s="8"/>
    </row>
    <row r="43" spans="1:33" x14ac:dyDescent="0.2">
      <c r="A43" s="12">
        <v>4450</v>
      </c>
      <c r="B43" s="13" t="s">
        <v>28</v>
      </c>
      <c r="C43" s="13">
        <v>43318</v>
      </c>
      <c r="D43" s="5">
        <v>67</v>
      </c>
      <c r="E43" s="6" t="s">
        <v>85</v>
      </c>
      <c r="F43" s="5" t="s">
        <v>172</v>
      </c>
      <c r="G43" s="6" t="s">
        <v>173</v>
      </c>
      <c r="H43" s="5" t="str">
        <f>"000047"</f>
        <v>000047</v>
      </c>
      <c r="I43" s="4">
        <v>42663</v>
      </c>
      <c r="J43" s="5" t="str">
        <f>"000053"</f>
        <v>000053</v>
      </c>
      <c r="K43" s="4">
        <v>43057</v>
      </c>
      <c r="L43" s="5" t="str">
        <f>"000082"</f>
        <v>000082</v>
      </c>
      <c r="M43" s="4">
        <v>43057</v>
      </c>
      <c r="N43" s="5">
        <v>16</v>
      </c>
      <c r="O43" s="5" t="str">
        <f>"005286"</f>
        <v>005286</v>
      </c>
      <c r="P43" s="4">
        <v>43332</v>
      </c>
      <c r="Q43" s="7">
        <v>15.965070000000001</v>
      </c>
      <c r="R43" s="7">
        <v>2.3825099999999999</v>
      </c>
      <c r="S43" s="7">
        <v>13.582560000000001</v>
      </c>
      <c r="T43" s="5">
        <v>160</v>
      </c>
      <c r="U43" s="4">
        <v>43318</v>
      </c>
      <c r="V43" s="5">
        <v>9900333666</v>
      </c>
      <c r="W43" s="6" t="s">
        <v>46</v>
      </c>
      <c r="X43" s="5" t="s">
        <v>79</v>
      </c>
      <c r="Y43" s="6" t="s">
        <v>80</v>
      </c>
      <c r="Z43" s="5" t="s">
        <v>45</v>
      </c>
      <c r="AA43" s="6" t="s">
        <v>44</v>
      </c>
      <c r="AB43" s="7">
        <v>0.15965070000000001</v>
      </c>
      <c r="AD43" s="8"/>
      <c r="AF43" s="8"/>
      <c r="AG43" s="8"/>
    </row>
    <row r="44" spans="1:33" x14ac:dyDescent="0.2">
      <c r="A44" s="12">
        <v>4451</v>
      </c>
      <c r="B44" s="13" t="s">
        <v>28</v>
      </c>
      <c r="C44" s="13">
        <v>43318</v>
      </c>
      <c r="D44" s="5">
        <v>67</v>
      </c>
      <c r="E44" s="6" t="s">
        <v>85</v>
      </c>
      <c r="F44" s="5" t="s">
        <v>174</v>
      </c>
      <c r="G44" s="6" t="s">
        <v>175</v>
      </c>
      <c r="H44" s="5" t="str">
        <f>"000025"</f>
        <v>000025</v>
      </c>
      <c r="I44" s="4">
        <v>42867</v>
      </c>
      <c r="J44" s="5" t="str">
        <f>"000032"</f>
        <v>000032</v>
      </c>
      <c r="K44" s="4">
        <v>42998</v>
      </c>
      <c r="L44" s="5" t="str">
        <f>"000055"</f>
        <v>000055</v>
      </c>
      <c r="M44" s="4">
        <v>42999</v>
      </c>
      <c r="N44" s="5">
        <v>17</v>
      </c>
      <c r="O44" s="5" t="str">
        <f>"004788"</f>
        <v>004788</v>
      </c>
      <c r="P44" s="4">
        <v>43314</v>
      </c>
      <c r="Q44" s="7">
        <v>24.701360000000001</v>
      </c>
      <c r="R44" s="7">
        <v>1.58965</v>
      </c>
      <c r="S44" s="7">
        <v>23.111709999999999</v>
      </c>
      <c r="T44" s="5">
        <v>160</v>
      </c>
      <c r="U44" s="4">
        <v>43318</v>
      </c>
      <c r="V44" s="5">
        <v>9916161644</v>
      </c>
      <c r="W44" s="6" t="s">
        <v>176</v>
      </c>
      <c r="X44" s="5" t="s">
        <v>29</v>
      </c>
      <c r="Y44" s="6" t="s">
        <v>30</v>
      </c>
      <c r="Z44" s="5" t="s">
        <v>88</v>
      </c>
      <c r="AA44" s="6" t="s">
        <v>89</v>
      </c>
      <c r="AB44" s="7">
        <v>0.2470136</v>
      </c>
      <c r="AD44" s="8"/>
      <c r="AF44" s="8"/>
      <c r="AG44" s="8"/>
    </row>
    <row r="45" spans="1:33" x14ac:dyDescent="0.2">
      <c r="A45" s="12">
        <v>4675</v>
      </c>
      <c r="B45" s="13" t="s">
        <v>28</v>
      </c>
      <c r="C45" s="13">
        <v>43325</v>
      </c>
      <c r="D45" s="5">
        <v>67</v>
      </c>
      <c r="E45" s="6" t="s">
        <v>85</v>
      </c>
      <c r="F45" s="5" t="s">
        <v>177</v>
      </c>
      <c r="G45" s="6" t="s">
        <v>178</v>
      </c>
      <c r="H45" s="5" t="str">
        <f>"000143"</f>
        <v>000143</v>
      </c>
      <c r="I45" s="4">
        <v>43134</v>
      </c>
      <c r="J45" s="5" t="str">
        <f>"000047"</f>
        <v>000047</v>
      </c>
      <c r="K45" s="4">
        <v>43266</v>
      </c>
      <c r="L45" s="5" t="str">
        <f>"000102"</f>
        <v>000102</v>
      </c>
      <c r="M45" s="4">
        <v>43269</v>
      </c>
      <c r="N45" s="5">
        <v>18</v>
      </c>
      <c r="O45" s="5" t="str">
        <f>"004217"</f>
        <v>004217</v>
      </c>
      <c r="P45" s="4">
        <v>43304</v>
      </c>
      <c r="Q45" s="7">
        <v>19.956849999999999</v>
      </c>
      <c r="R45" s="7">
        <v>2.3517000000000001</v>
      </c>
      <c r="S45" s="7">
        <v>17.605149999999998</v>
      </c>
      <c r="T45" s="5">
        <v>166</v>
      </c>
      <c r="U45" s="4">
        <v>43325</v>
      </c>
      <c r="V45" s="5">
        <v>9900333496</v>
      </c>
      <c r="W45" s="6" t="s">
        <v>74</v>
      </c>
      <c r="X45" s="5" t="s">
        <v>51</v>
      </c>
      <c r="Y45" s="6" t="s">
        <v>50</v>
      </c>
      <c r="Z45" s="5" t="s">
        <v>88</v>
      </c>
      <c r="AA45" s="6" t="s">
        <v>89</v>
      </c>
      <c r="AB45" s="7">
        <v>0.19956849999999998</v>
      </c>
      <c r="AD45" s="8"/>
      <c r="AF45" s="8"/>
      <c r="AG45" s="8"/>
    </row>
    <row r="46" spans="1:33" x14ac:dyDescent="0.2">
      <c r="A46" s="12">
        <v>4676</v>
      </c>
      <c r="B46" s="13" t="s">
        <v>28</v>
      </c>
      <c r="C46" s="13">
        <v>43325</v>
      </c>
      <c r="D46" s="5">
        <v>67</v>
      </c>
      <c r="E46" s="6" t="s">
        <v>85</v>
      </c>
      <c r="F46" s="5" t="s">
        <v>179</v>
      </c>
      <c r="G46" s="6" t="s">
        <v>180</v>
      </c>
      <c r="H46" s="5" t="str">
        <f>"000154"</f>
        <v>000154</v>
      </c>
      <c r="I46" s="4">
        <v>43134</v>
      </c>
      <c r="J46" s="5" t="str">
        <f>"000054"</f>
        <v>000054</v>
      </c>
      <c r="K46" s="4">
        <v>43266</v>
      </c>
      <c r="L46" s="5" t="str">
        <f>"000103"</f>
        <v>000103</v>
      </c>
      <c r="M46" s="4">
        <v>43269</v>
      </c>
      <c r="N46" s="5">
        <v>18</v>
      </c>
      <c r="O46" s="5" t="str">
        <f>"004218"</f>
        <v>004218</v>
      </c>
      <c r="P46" s="4">
        <v>43304</v>
      </c>
      <c r="Q46" s="7">
        <v>19.935230000000001</v>
      </c>
      <c r="R46" s="7">
        <v>2.32064</v>
      </c>
      <c r="S46" s="7">
        <v>17.61459</v>
      </c>
      <c r="T46" s="5">
        <v>166</v>
      </c>
      <c r="U46" s="4">
        <v>43325</v>
      </c>
      <c r="V46" s="5">
        <v>9900333496</v>
      </c>
      <c r="W46" s="6" t="s">
        <v>74</v>
      </c>
      <c r="X46" s="5" t="s">
        <v>51</v>
      </c>
      <c r="Y46" s="6" t="s">
        <v>50</v>
      </c>
      <c r="Z46" s="5" t="s">
        <v>88</v>
      </c>
      <c r="AA46" s="6" t="s">
        <v>89</v>
      </c>
      <c r="AB46" s="7">
        <v>0.19935230000000001</v>
      </c>
      <c r="AD46" s="8"/>
      <c r="AF46" s="8"/>
      <c r="AG46" s="8"/>
    </row>
    <row r="47" spans="1:33" x14ac:dyDescent="0.2">
      <c r="A47" s="12">
        <v>4677</v>
      </c>
      <c r="B47" s="13" t="s">
        <v>28</v>
      </c>
      <c r="C47" s="13">
        <v>43325</v>
      </c>
      <c r="D47" s="5">
        <v>67</v>
      </c>
      <c r="E47" s="6" t="s">
        <v>85</v>
      </c>
      <c r="F47" s="5" t="s">
        <v>181</v>
      </c>
      <c r="G47" s="6" t="s">
        <v>182</v>
      </c>
      <c r="H47" s="5" t="str">
        <f>"000149"</f>
        <v>000149</v>
      </c>
      <c r="I47" s="4">
        <v>43134</v>
      </c>
      <c r="J47" s="5" t="str">
        <f>"000050"</f>
        <v>000050</v>
      </c>
      <c r="K47" s="4">
        <v>43266</v>
      </c>
      <c r="L47" s="5" t="str">
        <f>"000099"</f>
        <v>000099</v>
      </c>
      <c r="M47" s="4">
        <v>43269</v>
      </c>
      <c r="N47" s="5">
        <v>18</v>
      </c>
      <c r="O47" s="5" t="str">
        <f>"004219"</f>
        <v>004219</v>
      </c>
      <c r="P47" s="4">
        <v>43304</v>
      </c>
      <c r="Q47" s="7">
        <v>19.96611</v>
      </c>
      <c r="R47" s="7">
        <v>2.3082099999999999</v>
      </c>
      <c r="S47" s="7">
        <v>17.657900000000001</v>
      </c>
      <c r="T47" s="5">
        <v>166</v>
      </c>
      <c r="U47" s="4">
        <v>43325</v>
      </c>
      <c r="V47" s="5">
        <v>9900333496</v>
      </c>
      <c r="W47" s="6" t="s">
        <v>74</v>
      </c>
      <c r="X47" s="5" t="s">
        <v>51</v>
      </c>
      <c r="Y47" s="6" t="s">
        <v>50</v>
      </c>
      <c r="Z47" s="5" t="s">
        <v>88</v>
      </c>
      <c r="AA47" s="6" t="s">
        <v>89</v>
      </c>
      <c r="AB47" s="7">
        <v>0.19966110000000001</v>
      </c>
      <c r="AD47" s="8"/>
      <c r="AF47" s="8"/>
      <c r="AG47" s="8"/>
    </row>
    <row r="48" spans="1:33" x14ac:dyDescent="0.2">
      <c r="A48" s="12">
        <v>4678</v>
      </c>
      <c r="B48" s="13" t="s">
        <v>28</v>
      </c>
      <c r="C48" s="13">
        <v>43325</v>
      </c>
      <c r="D48" s="5">
        <v>67</v>
      </c>
      <c r="E48" s="6" t="s">
        <v>85</v>
      </c>
      <c r="F48" s="5" t="s">
        <v>183</v>
      </c>
      <c r="G48" s="6" t="s">
        <v>184</v>
      </c>
      <c r="H48" s="5" t="str">
        <f>"000151"</f>
        <v>000151</v>
      </c>
      <c r="I48" s="4">
        <v>43134</v>
      </c>
      <c r="J48" s="5" t="str">
        <f>"000046"</f>
        <v>000046</v>
      </c>
      <c r="K48" s="4">
        <v>43266</v>
      </c>
      <c r="L48" s="5" t="str">
        <f>"000106"</f>
        <v>000106</v>
      </c>
      <c r="M48" s="4">
        <v>43269</v>
      </c>
      <c r="N48" s="5">
        <v>18</v>
      </c>
      <c r="O48" s="5" t="str">
        <f>"004271"</f>
        <v>004271</v>
      </c>
      <c r="P48" s="4">
        <v>43306</v>
      </c>
      <c r="Q48" s="7">
        <v>19.888860000000001</v>
      </c>
      <c r="R48" s="7">
        <v>2.3692799999999998</v>
      </c>
      <c r="S48" s="7">
        <v>17.519580000000001</v>
      </c>
      <c r="T48" s="5">
        <v>166</v>
      </c>
      <c r="U48" s="4">
        <v>43325</v>
      </c>
      <c r="V48" s="5">
        <v>9900333496</v>
      </c>
      <c r="W48" s="6" t="s">
        <v>74</v>
      </c>
      <c r="X48" s="5" t="s">
        <v>51</v>
      </c>
      <c r="Y48" s="6" t="s">
        <v>50</v>
      </c>
      <c r="Z48" s="5" t="s">
        <v>88</v>
      </c>
      <c r="AA48" s="6" t="s">
        <v>89</v>
      </c>
      <c r="AB48" s="7">
        <v>0.1988886</v>
      </c>
      <c r="AD48" s="8"/>
      <c r="AF48" s="8"/>
      <c r="AG48" s="8"/>
    </row>
    <row r="49" spans="1:33" x14ac:dyDescent="0.2">
      <c r="A49" s="12">
        <v>4679</v>
      </c>
      <c r="B49" s="13" t="s">
        <v>28</v>
      </c>
      <c r="C49" s="13">
        <v>43325</v>
      </c>
      <c r="D49" s="5">
        <v>67</v>
      </c>
      <c r="E49" s="6" t="s">
        <v>85</v>
      </c>
      <c r="F49" s="5" t="s">
        <v>185</v>
      </c>
      <c r="G49" s="6" t="s">
        <v>186</v>
      </c>
      <c r="H49" s="5" t="str">
        <f>"000152"</f>
        <v>000152</v>
      </c>
      <c r="I49" s="4">
        <v>43134</v>
      </c>
      <c r="J49" s="5" t="str">
        <f>"000045"</f>
        <v>000045</v>
      </c>
      <c r="K49" s="4">
        <v>43265</v>
      </c>
      <c r="L49" s="5" t="str">
        <f>"000108"</f>
        <v>000108</v>
      </c>
      <c r="M49" s="4">
        <v>43271</v>
      </c>
      <c r="N49" s="5">
        <v>18</v>
      </c>
      <c r="O49" s="5" t="str">
        <f>"004275"</f>
        <v>004275</v>
      </c>
      <c r="P49" s="4">
        <v>43306</v>
      </c>
      <c r="Q49" s="7">
        <v>29.872060000000001</v>
      </c>
      <c r="R49" s="7">
        <v>3.5140500000000001</v>
      </c>
      <c r="S49" s="7">
        <v>26.35801</v>
      </c>
      <c r="T49" s="5">
        <v>166</v>
      </c>
      <c r="U49" s="4">
        <v>43325</v>
      </c>
      <c r="V49" s="5">
        <v>9900333496</v>
      </c>
      <c r="W49" s="6" t="s">
        <v>74</v>
      </c>
      <c r="X49" s="5" t="s">
        <v>51</v>
      </c>
      <c r="Y49" s="6" t="s">
        <v>50</v>
      </c>
      <c r="Z49" s="5" t="s">
        <v>88</v>
      </c>
      <c r="AA49" s="6" t="s">
        <v>89</v>
      </c>
      <c r="AB49" s="7">
        <v>0.2987206</v>
      </c>
      <c r="AD49" s="8"/>
      <c r="AF49" s="8"/>
      <c r="AG49" s="8"/>
    </row>
    <row r="50" spans="1:33" x14ac:dyDescent="0.2">
      <c r="A50" s="12">
        <v>4799</v>
      </c>
      <c r="B50" s="13" t="s">
        <v>28</v>
      </c>
      <c r="C50" s="13">
        <v>43326</v>
      </c>
      <c r="D50" s="5">
        <v>67</v>
      </c>
      <c r="E50" s="6" t="s">
        <v>85</v>
      </c>
      <c r="F50" s="5" t="s">
        <v>187</v>
      </c>
      <c r="G50" s="6" t="s">
        <v>188</v>
      </c>
      <c r="H50" s="5" t="str">
        <f>"000236"</f>
        <v>000236</v>
      </c>
      <c r="I50" s="4">
        <v>42601</v>
      </c>
      <c r="J50" s="5" t="str">
        <f>"000335"</f>
        <v>000335</v>
      </c>
      <c r="K50" s="4">
        <v>42793</v>
      </c>
      <c r="L50" s="5" t="str">
        <f>"000931"</f>
        <v>000931</v>
      </c>
      <c r="M50" s="4">
        <v>42794</v>
      </c>
      <c r="N50" s="5">
        <v>17</v>
      </c>
      <c r="O50" s="5" t="str">
        <f>"004924"</f>
        <v>004924</v>
      </c>
      <c r="P50" s="4">
        <v>43318</v>
      </c>
      <c r="Q50" s="7">
        <v>19.808730000000001</v>
      </c>
      <c r="R50" s="7">
        <v>2.7930700000000002</v>
      </c>
      <c r="S50" s="7">
        <v>17.01566</v>
      </c>
      <c r="T50" s="5">
        <v>170</v>
      </c>
      <c r="U50" s="4">
        <v>43326</v>
      </c>
      <c r="V50" s="5">
        <v>9900333496</v>
      </c>
      <c r="W50" s="6" t="s">
        <v>78</v>
      </c>
      <c r="X50" s="5" t="s">
        <v>79</v>
      </c>
      <c r="Y50" s="6" t="s">
        <v>80</v>
      </c>
      <c r="Z50" s="5" t="s">
        <v>88</v>
      </c>
      <c r="AA50" s="6" t="s">
        <v>89</v>
      </c>
      <c r="AB50" s="7">
        <v>0.19808729999999999</v>
      </c>
      <c r="AD50" s="8"/>
      <c r="AF50" s="8"/>
      <c r="AG50" s="8"/>
    </row>
    <row r="51" spans="1:33" x14ac:dyDescent="0.2">
      <c r="A51" s="12">
        <v>4800</v>
      </c>
      <c r="B51" s="13" t="s">
        <v>28</v>
      </c>
      <c r="C51" s="13">
        <v>43326</v>
      </c>
      <c r="D51" s="5">
        <v>67</v>
      </c>
      <c r="E51" s="6" t="s">
        <v>85</v>
      </c>
      <c r="F51" s="5" t="s">
        <v>189</v>
      </c>
      <c r="G51" s="6" t="s">
        <v>190</v>
      </c>
      <c r="H51" s="5" t="str">
        <f>"000237"</f>
        <v>000237</v>
      </c>
      <c r="I51" s="4">
        <v>42601</v>
      </c>
      <c r="J51" s="5" t="str">
        <f>"000334"</f>
        <v>000334</v>
      </c>
      <c r="K51" s="4">
        <v>42793</v>
      </c>
      <c r="L51" s="5" t="str">
        <f>"000932"</f>
        <v>000932</v>
      </c>
      <c r="M51" s="4">
        <v>42794</v>
      </c>
      <c r="N51" s="5">
        <v>17</v>
      </c>
      <c r="O51" s="5" t="str">
        <f>"004925"</f>
        <v>004925</v>
      </c>
      <c r="P51" s="4">
        <v>43318</v>
      </c>
      <c r="Q51" s="7">
        <v>19.808730000000001</v>
      </c>
      <c r="R51" s="7">
        <v>2.7930700000000002</v>
      </c>
      <c r="S51" s="7">
        <v>17.01566</v>
      </c>
      <c r="T51" s="5">
        <v>170</v>
      </c>
      <c r="U51" s="4">
        <v>43326</v>
      </c>
      <c r="V51" s="5">
        <v>9900333496</v>
      </c>
      <c r="W51" s="6" t="s">
        <v>191</v>
      </c>
      <c r="X51" s="5" t="s">
        <v>79</v>
      </c>
      <c r="Y51" s="6" t="s">
        <v>80</v>
      </c>
      <c r="Z51" s="5" t="s">
        <v>88</v>
      </c>
      <c r="AA51" s="6" t="s">
        <v>89</v>
      </c>
      <c r="AB51" s="7">
        <v>0.19808729999999999</v>
      </c>
      <c r="AD51" s="8"/>
      <c r="AF51" s="8"/>
      <c r="AG51" s="8"/>
    </row>
    <row r="52" spans="1:33" x14ac:dyDescent="0.2">
      <c r="A52" s="12">
        <v>4801</v>
      </c>
      <c r="B52" s="13" t="s">
        <v>28</v>
      </c>
      <c r="C52" s="13">
        <v>43326</v>
      </c>
      <c r="D52" s="5">
        <v>67</v>
      </c>
      <c r="E52" s="6" t="s">
        <v>85</v>
      </c>
      <c r="F52" s="5" t="s">
        <v>192</v>
      </c>
      <c r="G52" s="6" t="s">
        <v>193</v>
      </c>
      <c r="H52" s="5" t="str">
        <f>"000230"</f>
        <v>000230</v>
      </c>
      <c r="I52" s="4">
        <v>42601</v>
      </c>
      <c r="J52" s="5" t="str">
        <f>"000349"</f>
        <v>000349</v>
      </c>
      <c r="K52" s="4">
        <v>42810</v>
      </c>
      <c r="L52" s="5" t="str">
        <f>"000991"</f>
        <v>000991</v>
      </c>
      <c r="M52" s="4">
        <v>42818</v>
      </c>
      <c r="N52" s="5">
        <v>17</v>
      </c>
      <c r="O52" s="5" t="str">
        <f>"005069"</f>
        <v>005069</v>
      </c>
      <c r="P52" s="4">
        <v>43322</v>
      </c>
      <c r="Q52" s="7">
        <v>19.81466</v>
      </c>
      <c r="R52" s="7">
        <v>2.8024200000000001</v>
      </c>
      <c r="S52" s="7">
        <v>17.012239999999998</v>
      </c>
      <c r="T52" s="5">
        <v>170</v>
      </c>
      <c r="U52" s="4">
        <v>43326</v>
      </c>
      <c r="V52" s="5">
        <v>9900333496</v>
      </c>
      <c r="W52" s="6" t="s">
        <v>77</v>
      </c>
      <c r="X52" s="5" t="s">
        <v>79</v>
      </c>
      <c r="Y52" s="6" t="s">
        <v>80</v>
      </c>
      <c r="Z52" s="5" t="s">
        <v>88</v>
      </c>
      <c r="AA52" s="6" t="s">
        <v>89</v>
      </c>
      <c r="AB52" s="7">
        <v>0.19814660000000001</v>
      </c>
      <c r="AD52" s="8"/>
      <c r="AF52" s="8"/>
      <c r="AG52" s="8"/>
    </row>
    <row r="53" spans="1:33" x14ac:dyDescent="0.2">
      <c r="A53" s="12">
        <v>5014</v>
      </c>
      <c r="B53" s="13" t="s">
        <v>28</v>
      </c>
      <c r="C53" s="13">
        <v>43333</v>
      </c>
      <c r="D53" s="5">
        <v>67</v>
      </c>
      <c r="E53" s="6" t="s">
        <v>85</v>
      </c>
      <c r="F53" s="5" t="s">
        <v>172</v>
      </c>
      <c r="G53" s="6" t="s">
        <v>173</v>
      </c>
      <c r="H53" s="5" t="str">
        <f>"000047"</f>
        <v>000047</v>
      </c>
      <c r="I53" s="4">
        <v>42663</v>
      </c>
      <c r="J53" s="5" t="str">
        <f>"000053"</f>
        <v>000053</v>
      </c>
      <c r="K53" s="4">
        <v>43057</v>
      </c>
      <c r="L53" s="5" t="str">
        <f>"000082"</f>
        <v>000082</v>
      </c>
      <c r="M53" s="4">
        <v>43057</v>
      </c>
      <c r="N53" s="5">
        <v>16</v>
      </c>
      <c r="O53" s="5" t="str">
        <f>"005286"</f>
        <v>005286</v>
      </c>
      <c r="P53" s="4">
        <v>43332</v>
      </c>
      <c r="Q53" s="7">
        <v>34.034100000000002</v>
      </c>
      <c r="R53" s="7">
        <v>12.032220000000001</v>
      </c>
      <c r="S53" s="7">
        <v>22.00188</v>
      </c>
      <c r="T53" s="5">
        <v>176</v>
      </c>
      <c r="U53" s="4">
        <v>43333</v>
      </c>
      <c r="V53" s="5">
        <v>9900333666</v>
      </c>
      <c r="W53" s="6" t="s">
        <v>46</v>
      </c>
      <c r="X53" s="5" t="s">
        <v>79</v>
      </c>
      <c r="Y53" s="6" t="s">
        <v>80</v>
      </c>
      <c r="Z53" s="5" t="s">
        <v>45</v>
      </c>
      <c r="AA53" s="6" t="s">
        <v>44</v>
      </c>
      <c r="AB53" s="7">
        <v>0.340341</v>
      </c>
      <c r="AD53" s="8"/>
      <c r="AF53" s="8"/>
      <c r="AG53" s="8"/>
    </row>
    <row r="54" spans="1:33" x14ac:dyDescent="0.2">
      <c r="A54" s="12">
        <v>5048</v>
      </c>
      <c r="B54" s="13" t="s">
        <v>28</v>
      </c>
      <c r="C54" s="13">
        <v>43335</v>
      </c>
      <c r="D54" s="5">
        <v>67</v>
      </c>
      <c r="E54" s="6" t="s">
        <v>85</v>
      </c>
      <c r="F54" s="5" t="s">
        <v>194</v>
      </c>
      <c r="G54" s="6" t="s">
        <v>195</v>
      </c>
      <c r="H54" s="5" t="str">
        <f>"000318"</f>
        <v>000318</v>
      </c>
      <c r="I54" s="4">
        <v>42627</v>
      </c>
      <c r="J54" s="5" t="str">
        <f>"000093"</f>
        <v>000093</v>
      </c>
      <c r="K54" s="4">
        <v>43311</v>
      </c>
      <c r="L54" s="5" t="str">
        <f>"000205"</f>
        <v>000205</v>
      </c>
      <c r="M54" s="4">
        <v>43311</v>
      </c>
      <c r="N54" s="5">
        <v>17</v>
      </c>
      <c r="O54" s="5" t="str">
        <f>"005346"</f>
        <v>005346</v>
      </c>
      <c r="P54" s="4">
        <v>43335</v>
      </c>
      <c r="Q54" s="7">
        <v>9.9931900000000002</v>
      </c>
      <c r="R54" s="7">
        <v>1.19858</v>
      </c>
      <c r="S54" s="7">
        <v>8.7946100000000005</v>
      </c>
      <c r="T54" s="5">
        <v>178</v>
      </c>
      <c r="U54" s="4">
        <v>43335</v>
      </c>
      <c r="V54" s="5">
        <v>9900333493</v>
      </c>
      <c r="W54" s="6" t="s">
        <v>74</v>
      </c>
      <c r="X54" s="5" t="s">
        <v>48</v>
      </c>
      <c r="Y54" s="6" t="s">
        <v>47</v>
      </c>
      <c r="Z54" s="5" t="s">
        <v>88</v>
      </c>
      <c r="AA54" s="6" t="s">
        <v>89</v>
      </c>
      <c r="AB54" s="7">
        <v>9.9931900000000004E-2</v>
      </c>
      <c r="AD54" s="8"/>
      <c r="AF54" s="8"/>
      <c r="AG54" s="8"/>
    </row>
    <row r="55" spans="1:33" x14ac:dyDescent="0.2">
      <c r="A55" s="12">
        <v>5231</v>
      </c>
      <c r="B55" s="13" t="s">
        <v>36</v>
      </c>
      <c r="C55" s="13">
        <v>43346</v>
      </c>
      <c r="D55" s="5">
        <v>67</v>
      </c>
      <c r="E55" s="6" t="s">
        <v>85</v>
      </c>
      <c r="F55" s="5" t="s">
        <v>196</v>
      </c>
      <c r="G55" s="6" t="s">
        <v>197</v>
      </c>
      <c r="H55" s="5" t="str">
        <f>"000150"</f>
        <v>000150</v>
      </c>
      <c r="I55" s="4">
        <v>43134</v>
      </c>
      <c r="J55" s="5" t="str">
        <f>"000105"</f>
        <v>000105</v>
      </c>
      <c r="K55" s="4">
        <v>43321</v>
      </c>
      <c r="L55" s="5" t="str">
        <f>"000231"</f>
        <v>000231</v>
      </c>
      <c r="M55" s="4">
        <v>43321</v>
      </c>
      <c r="N55" s="5">
        <v>18</v>
      </c>
      <c r="O55" s="5" t="str">
        <f>"005440"</f>
        <v>005440</v>
      </c>
      <c r="P55" s="4">
        <v>43340</v>
      </c>
      <c r="Q55" s="7">
        <v>19.992529999999999</v>
      </c>
      <c r="R55" s="7">
        <v>2.4245399999999999</v>
      </c>
      <c r="S55" s="7">
        <v>17.567990000000002</v>
      </c>
      <c r="T55" s="5">
        <v>187</v>
      </c>
      <c r="U55" s="4">
        <v>43346</v>
      </c>
      <c r="V55" s="5">
        <v>9900333496</v>
      </c>
      <c r="W55" s="6" t="s">
        <v>74</v>
      </c>
      <c r="X55" s="5" t="s">
        <v>51</v>
      </c>
      <c r="Y55" s="6" t="s">
        <v>50</v>
      </c>
      <c r="Z55" s="5" t="s">
        <v>88</v>
      </c>
      <c r="AA55" s="6" t="s">
        <v>89</v>
      </c>
      <c r="AB55" s="7">
        <f>Q55/100</f>
        <v>0.19992529999999997</v>
      </c>
      <c r="AD55" s="8"/>
      <c r="AF55" s="8"/>
      <c r="AG55" s="8"/>
    </row>
    <row r="56" spans="1:33" x14ac:dyDescent="0.2">
      <c r="A56" s="12">
        <v>5232</v>
      </c>
      <c r="B56" s="13" t="s">
        <v>36</v>
      </c>
      <c r="C56" s="13">
        <v>43346</v>
      </c>
      <c r="D56" s="5">
        <v>67</v>
      </c>
      <c r="E56" s="6" t="s">
        <v>85</v>
      </c>
      <c r="F56" s="5" t="s">
        <v>198</v>
      </c>
      <c r="G56" s="6" t="s">
        <v>199</v>
      </c>
      <c r="H56" s="5" t="str">
        <f>"000074"</f>
        <v>000074</v>
      </c>
      <c r="I56" s="4">
        <v>43313</v>
      </c>
      <c r="J56" s="5" t="str">
        <f>"000103"</f>
        <v>000103</v>
      </c>
      <c r="K56" s="4">
        <v>43320</v>
      </c>
      <c r="L56" s="5" t="str">
        <f>"000225"</f>
        <v>000225</v>
      </c>
      <c r="M56" s="4">
        <v>43320</v>
      </c>
      <c r="N56" s="5">
        <v>18</v>
      </c>
      <c r="O56" s="5" t="str">
        <f>"005518"</f>
        <v>005518</v>
      </c>
      <c r="P56" s="4">
        <v>43341</v>
      </c>
      <c r="Q56" s="7">
        <v>9.9995700000000003</v>
      </c>
      <c r="R56" s="7">
        <v>0.85995999999999995</v>
      </c>
      <c r="S56" s="7">
        <v>9.1396099999999993</v>
      </c>
      <c r="T56" s="5">
        <v>192</v>
      </c>
      <c r="U56" s="4">
        <v>43346</v>
      </c>
      <c r="V56" s="5">
        <v>9900333496</v>
      </c>
      <c r="W56" s="6" t="s">
        <v>74</v>
      </c>
      <c r="X56" s="5" t="s">
        <v>48</v>
      </c>
      <c r="Y56" s="6" t="s">
        <v>47</v>
      </c>
      <c r="Z56" s="5" t="s">
        <v>88</v>
      </c>
      <c r="AA56" s="6" t="s">
        <v>89</v>
      </c>
      <c r="AB56" s="7">
        <f>Q56/100</f>
        <v>9.9995700000000007E-2</v>
      </c>
      <c r="AD56" s="8"/>
      <c r="AF56" s="8"/>
      <c r="AG56" s="8"/>
    </row>
    <row r="57" spans="1:33" x14ac:dyDescent="0.2">
      <c r="A57" s="12">
        <v>5233</v>
      </c>
      <c r="B57" s="13" t="s">
        <v>36</v>
      </c>
      <c r="C57" s="13">
        <v>43346</v>
      </c>
      <c r="D57" s="5">
        <v>67</v>
      </c>
      <c r="E57" s="6" t="s">
        <v>85</v>
      </c>
      <c r="F57" s="5" t="s">
        <v>200</v>
      </c>
      <c r="G57" s="6" t="s">
        <v>201</v>
      </c>
      <c r="H57" s="5" t="str">
        <f>"000073"</f>
        <v>000073</v>
      </c>
      <c r="I57" s="4">
        <v>43313</v>
      </c>
      <c r="J57" s="5" t="str">
        <f>"000104"</f>
        <v>000104</v>
      </c>
      <c r="K57" s="4">
        <v>43320</v>
      </c>
      <c r="L57" s="5" t="str">
        <f>"000224"</f>
        <v>000224</v>
      </c>
      <c r="M57" s="4">
        <v>43320</v>
      </c>
      <c r="N57" s="5">
        <v>18</v>
      </c>
      <c r="O57" s="5" t="str">
        <f>"005533"</f>
        <v>005533</v>
      </c>
      <c r="P57" s="4">
        <v>43341</v>
      </c>
      <c r="Q57" s="7">
        <v>9.9949899999999996</v>
      </c>
      <c r="R57" s="7">
        <v>0.85955999999999999</v>
      </c>
      <c r="S57" s="7">
        <v>9.1354299999999995</v>
      </c>
      <c r="T57" s="5">
        <v>192</v>
      </c>
      <c r="U57" s="4">
        <v>43346</v>
      </c>
      <c r="V57" s="5">
        <v>9900333496</v>
      </c>
      <c r="W57" s="6" t="s">
        <v>74</v>
      </c>
      <c r="X57" s="5" t="s">
        <v>48</v>
      </c>
      <c r="Y57" s="6" t="s">
        <v>47</v>
      </c>
      <c r="Z57" s="5" t="s">
        <v>88</v>
      </c>
      <c r="AA57" s="6" t="s">
        <v>89</v>
      </c>
      <c r="AB57" s="7">
        <f>Q57/100</f>
        <v>9.9949899999999994E-2</v>
      </c>
      <c r="AD57" s="8"/>
      <c r="AF57" s="8"/>
      <c r="AG57" s="8"/>
    </row>
    <row r="58" spans="1:33" x14ac:dyDescent="0.2">
      <c r="A58" s="12">
        <v>5234</v>
      </c>
      <c r="B58" s="13" t="s">
        <v>36</v>
      </c>
      <c r="C58" s="13">
        <v>43346</v>
      </c>
      <c r="D58" s="5">
        <v>67</v>
      </c>
      <c r="E58" s="6" t="s">
        <v>85</v>
      </c>
      <c r="F58" s="5" t="s">
        <v>202</v>
      </c>
      <c r="G58" s="6" t="s">
        <v>203</v>
      </c>
      <c r="H58" s="5" t="str">
        <f>"000235"</f>
        <v>000235</v>
      </c>
      <c r="I58" s="4">
        <v>42601</v>
      </c>
      <c r="J58" s="5" t="str">
        <f>"000336"</f>
        <v>000336</v>
      </c>
      <c r="K58" s="4">
        <v>42793</v>
      </c>
      <c r="L58" s="5" t="str">
        <f>"000933"</f>
        <v>000933</v>
      </c>
      <c r="M58" s="4">
        <v>42794</v>
      </c>
      <c r="N58" s="5">
        <v>17</v>
      </c>
      <c r="O58" s="5" t="str">
        <f>"005366"</f>
        <v>005366</v>
      </c>
      <c r="P58" s="4">
        <v>43335</v>
      </c>
      <c r="Q58" s="7">
        <v>14.58653</v>
      </c>
      <c r="R58" s="7">
        <v>1.9596100000000001</v>
      </c>
      <c r="S58" s="7">
        <v>12.62692</v>
      </c>
      <c r="T58" s="5">
        <v>193</v>
      </c>
      <c r="U58" s="4">
        <v>43346</v>
      </c>
      <c r="V58" s="5">
        <v>9900333496</v>
      </c>
      <c r="W58" s="6" t="s">
        <v>74</v>
      </c>
      <c r="X58" s="5" t="s">
        <v>79</v>
      </c>
      <c r="Y58" s="6" t="s">
        <v>80</v>
      </c>
      <c r="Z58" s="5" t="s">
        <v>88</v>
      </c>
      <c r="AA58" s="6" t="s">
        <v>89</v>
      </c>
      <c r="AB58" s="7">
        <f>Q58/100</f>
        <v>0.1458653</v>
      </c>
      <c r="AD58" s="8"/>
      <c r="AF58" s="8"/>
      <c r="AG58" s="8"/>
    </row>
    <row r="59" spans="1:33" x14ac:dyDescent="0.2">
      <c r="A59" s="12">
        <v>5388</v>
      </c>
      <c r="B59" s="13" t="s">
        <v>36</v>
      </c>
      <c r="C59" s="13">
        <v>43349</v>
      </c>
      <c r="D59" s="5">
        <v>67</v>
      </c>
      <c r="E59" s="6" t="s">
        <v>85</v>
      </c>
      <c r="F59" s="5" t="s">
        <v>204</v>
      </c>
      <c r="G59" s="6" t="s">
        <v>205</v>
      </c>
      <c r="H59" s="5" t="str">
        <f>"000085"</f>
        <v>000085</v>
      </c>
      <c r="I59" s="4">
        <v>43319</v>
      </c>
      <c r="J59" s="5" t="str">
        <f>"000112"</f>
        <v>000112</v>
      </c>
      <c r="K59" s="4">
        <v>43341</v>
      </c>
      <c r="L59" s="5" t="str">
        <f>"000250"</f>
        <v>000250</v>
      </c>
      <c r="M59" s="4">
        <v>43341</v>
      </c>
      <c r="N59" s="5">
        <v>18</v>
      </c>
      <c r="O59" s="5" t="str">
        <f>"005623"</f>
        <v>005623</v>
      </c>
      <c r="P59" s="4">
        <v>43348</v>
      </c>
      <c r="Q59" s="7">
        <v>19.58971</v>
      </c>
      <c r="R59" s="7">
        <v>1.7826599999999999</v>
      </c>
      <c r="S59" s="7">
        <v>17.80705</v>
      </c>
      <c r="T59" s="5">
        <v>194</v>
      </c>
      <c r="U59" s="4">
        <v>43349</v>
      </c>
      <c r="V59" s="5">
        <v>9900333496</v>
      </c>
      <c r="W59" s="6" t="s">
        <v>74</v>
      </c>
      <c r="X59" s="5" t="s">
        <v>69</v>
      </c>
      <c r="Y59" s="6" t="s">
        <v>68</v>
      </c>
      <c r="Z59" s="5" t="s">
        <v>88</v>
      </c>
      <c r="AA59" s="6" t="s">
        <v>89</v>
      </c>
      <c r="AB59" s="7">
        <f>Q59/100</f>
        <v>0.19589709999999999</v>
      </c>
      <c r="AD59" s="8"/>
      <c r="AF59" s="8"/>
      <c r="AG59" s="8"/>
    </row>
    <row r="60" spans="1:33" x14ac:dyDescent="0.2">
      <c r="A60" s="12">
        <v>5461</v>
      </c>
      <c r="B60" s="13" t="s">
        <v>36</v>
      </c>
      <c r="C60" s="13">
        <v>43357</v>
      </c>
      <c r="D60" s="5">
        <v>67</v>
      </c>
      <c r="E60" s="6" t="s">
        <v>85</v>
      </c>
      <c r="F60" s="5" t="s">
        <v>206</v>
      </c>
      <c r="G60" s="6" t="s">
        <v>207</v>
      </c>
      <c r="H60" s="5" t="str">
        <f>"000466"</f>
        <v>000466</v>
      </c>
      <c r="I60" s="4">
        <v>42802</v>
      </c>
      <c r="J60" s="5" t="str">
        <f>"000144"</f>
        <v>000144</v>
      </c>
      <c r="K60" s="4">
        <v>42916</v>
      </c>
      <c r="L60" s="5" t="str">
        <f>"000376"</f>
        <v>000376</v>
      </c>
      <c r="M60" s="4">
        <v>42916</v>
      </c>
      <c r="N60" s="5">
        <v>17</v>
      </c>
      <c r="O60" s="5" t="str">
        <f>"005643"</f>
        <v>005643</v>
      </c>
      <c r="P60" s="4">
        <v>43349</v>
      </c>
      <c r="Q60" s="7">
        <v>6.50786</v>
      </c>
      <c r="R60" s="7">
        <v>0.41982999999999998</v>
      </c>
      <c r="S60" s="7">
        <v>6.0880299999999998</v>
      </c>
      <c r="T60" s="5">
        <v>203</v>
      </c>
      <c r="U60" s="4">
        <v>43357</v>
      </c>
      <c r="V60" s="5">
        <v>0</v>
      </c>
      <c r="W60" s="6" t="s">
        <v>208</v>
      </c>
      <c r="X60" s="5" t="s">
        <v>29</v>
      </c>
      <c r="Y60" s="6" t="s">
        <v>30</v>
      </c>
      <c r="Z60" s="5" t="s">
        <v>88</v>
      </c>
      <c r="AA60" s="6" t="s">
        <v>89</v>
      </c>
      <c r="AB60" s="7">
        <f>Q60/100</f>
        <v>6.50786E-2</v>
      </c>
      <c r="AD60" s="8"/>
      <c r="AF60" s="8"/>
      <c r="AG60" s="8"/>
    </row>
    <row r="61" spans="1:33" x14ac:dyDescent="0.2">
      <c r="A61" s="12">
        <v>5462</v>
      </c>
      <c r="B61" s="13" t="s">
        <v>36</v>
      </c>
      <c r="C61" s="13">
        <v>43357</v>
      </c>
      <c r="D61" s="5">
        <v>67</v>
      </c>
      <c r="E61" s="6" t="s">
        <v>85</v>
      </c>
      <c r="F61" s="5" t="s">
        <v>209</v>
      </c>
      <c r="G61" s="6" t="s">
        <v>210</v>
      </c>
      <c r="H61" s="5" t="str">
        <f>"000035"</f>
        <v>000035</v>
      </c>
      <c r="I61" s="4">
        <v>42870</v>
      </c>
      <c r="J61" s="5" t="str">
        <f>"000003"</f>
        <v>000003</v>
      </c>
      <c r="K61" s="4">
        <v>42947</v>
      </c>
      <c r="L61" s="5" t="str">
        <f>"000005"</f>
        <v>000005</v>
      </c>
      <c r="M61" s="4">
        <v>42947</v>
      </c>
      <c r="N61" s="5">
        <v>17</v>
      </c>
      <c r="O61" s="5" t="str">
        <f>"005652"</f>
        <v>005652</v>
      </c>
      <c r="P61" s="4">
        <v>43349</v>
      </c>
      <c r="Q61" s="7">
        <v>29.83013</v>
      </c>
      <c r="R61" s="7">
        <v>4.3723599999999996</v>
      </c>
      <c r="S61" s="7">
        <v>25.45777</v>
      </c>
      <c r="T61" s="5">
        <v>203</v>
      </c>
      <c r="U61" s="4">
        <v>43357</v>
      </c>
      <c r="V61" s="5">
        <v>9900333496</v>
      </c>
      <c r="W61" s="6" t="s">
        <v>74</v>
      </c>
      <c r="X61" s="5" t="s">
        <v>58</v>
      </c>
      <c r="Y61" s="6" t="s">
        <v>57</v>
      </c>
      <c r="Z61" s="5" t="s">
        <v>88</v>
      </c>
      <c r="AA61" s="6" t="s">
        <v>89</v>
      </c>
      <c r="AB61" s="7">
        <f>Q61/100</f>
        <v>0.29830129999999999</v>
      </c>
      <c r="AD61" s="8"/>
      <c r="AF61" s="8"/>
      <c r="AG61" s="8"/>
    </row>
    <row r="62" spans="1:33" x14ac:dyDescent="0.2">
      <c r="A62" s="12">
        <v>5579</v>
      </c>
      <c r="B62" s="13" t="s">
        <v>36</v>
      </c>
      <c r="C62" s="13">
        <v>43369</v>
      </c>
      <c r="D62" s="5">
        <v>67</v>
      </c>
      <c r="E62" s="6" t="s">
        <v>85</v>
      </c>
      <c r="F62" s="5" t="s">
        <v>211</v>
      </c>
      <c r="G62" s="6" t="s">
        <v>212</v>
      </c>
      <c r="H62" s="5" t="str">
        <f>"000290"</f>
        <v>000290</v>
      </c>
      <c r="I62" s="4">
        <v>43158</v>
      </c>
      <c r="J62" s="5" t="str">
        <f>"000107"</f>
        <v>000107</v>
      </c>
      <c r="K62" s="4">
        <v>43325</v>
      </c>
      <c r="L62" s="5" t="str">
        <f>"000254"</f>
        <v>000254</v>
      </c>
      <c r="M62" s="4">
        <v>43342</v>
      </c>
      <c r="N62" s="5">
        <v>18</v>
      </c>
      <c r="O62" s="5" t="str">
        <f>"005988"</f>
        <v>005988</v>
      </c>
      <c r="P62" s="4">
        <v>43369</v>
      </c>
      <c r="Q62" s="7">
        <v>49.999000000000002</v>
      </c>
      <c r="R62" s="7">
        <v>4.7999200000000002</v>
      </c>
      <c r="S62" s="7">
        <v>45.199080000000002</v>
      </c>
      <c r="T62" s="5">
        <v>212</v>
      </c>
      <c r="U62" s="4">
        <v>43369</v>
      </c>
      <c r="V62" s="5">
        <v>9900333496</v>
      </c>
      <c r="W62" s="6" t="s">
        <v>74</v>
      </c>
      <c r="X62" s="5" t="s">
        <v>48</v>
      </c>
      <c r="Y62" s="6" t="s">
        <v>47</v>
      </c>
      <c r="Z62" s="5" t="s">
        <v>88</v>
      </c>
      <c r="AA62" s="6" t="s">
        <v>89</v>
      </c>
      <c r="AB62" s="7">
        <f>Q62/100</f>
        <v>0.49999000000000005</v>
      </c>
      <c r="AD62" s="8"/>
      <c r="AF62" s="8"/>
      <c r="AG62" s="8"/>
    </row>
    <row r="63" spans="1:33" x14ac:dyDescent="0.2">
      <c r="A63" s="12">
        <v>5580</v>
      </c>
      <c r="B63" s="13" t="s">
        <v>36</v>
      </c>
      <c r="C63" s="13">
        <v>43369</v>
      </c>
      <c r="D63" s="5">
        <v>67</v>
      </c>
      <c r="E63" s="6" t="s">
        <v>85</v>
      </c>
      <c r="F63" s="5" t="s">
        <v>213</v>
      </c>
      <c r="G63" s="6" t="s">
        <v>214</v>
      </c>
      <c r="H63" s="5" t="str">
        <f>"000289"</f>
        <v>000289</v>
      </c>
      <c r="I63" s="4">
        <v>43158</v>
      </c>
      <c r="J63" s="5" t="str">
        <f>"000108"</f>
        <v>000108</v>
      </c>
      <c r="K63" s="4">
        <v>43325</v>
      </c>
      <c r="L63" s="5" t="str">
        <f>"000255"</f>
        <v>000255</v>
      </c>
      <c r="M63" s="4">
        <v>43342</v>
      </c>
      <c r="N63" s="5">
        <v>18</v>
      </c>
      <c r="O63" s="5" t="str">
        <f>"005989"</f>
        <v>005989</v>
      </c>
      <c r="P63" s="4">
        <v>43369</v>
      </c>
      <c r="Q63" s="7">
        <v>49.941099999999999</v>
      </c>
      <c r="R63" s="7">
        <v>4.8967400000000003</v>
      </c>
      <c r="S63" s="7">
        <v>45.044359999999998</v>
      </c>
      <c r="T63" s="5">
        <v>212</v>
      </c>
      <c r="U63" s="4">
        <v>43369</v>
      </c>
      <c r="V63" s="5">
        <v>9900333496</v>
      </c>
      <c r="W63" s="6" t="s">
        <v>74</v>
      </c>
      <c r="X63" s="5" t="s">
        <v>48</v>
      </c>
      <c r="Y63" s="6" t="s">
        <v>47</v>
      </c>
      <c r="Z63" s="5" t="s">
        <v>88</v>
      </c>
      <c r="AA63" s="6" t="s">
        <v>89</v>
      </c>
      <c r="AB63" s="7">
        <f>Q63/100</f>
        <v>0.49941099999999999</v>
      </c>
      <c r="AD63" s="8"/>
      <c r="AF63" s="8"/>
      <c r="AG63" s="8"/>
    </row>
    <row r="64" spans="1:33" x14ac:dyDescent="0.2">
      <c r="A64" s="12">
        <v>5581</v>
      </c>
      <c r="B64" s="13" t="s">
        <v>36</v>
      </c>
      <c r="C64" s="13">
        <v>43369</v>
      </c>
      <c r="D64" s="5">
        <v>67</v>
      </c>
      <c r="E64" s="6" t="s">
        <v>85</v>
      </c>
      <c r="F64" s="5" t="s">
        <v>215</v>
      </c>
      <c r="G64" s="6" t="s">
        <v>216</v>
      </c>
      <c r="H64" s="5" t="str">
        <f>"000075"</f>
        <v>000075</v>
      </c>
      <c r="I64" s="4">
        <v>43313</v>
      </c>
      <c r="J64" s="5" t="str">
        <f>"000119"</f>
        <v>000119</v>
      </c>
      <c r="K64" s="4">
        <v>43363</v>
      </c>
      <c r="L64" s="5" t="str">
        <f>"000280"</f>
        <v>000280</v>
      </c>
      <c r="M64" s="4">
        <v>43365</v>
      </c>
      <c r="N64" s="5">
        <v>18</v>
      </c>
      <c r="O64" s="5" t="str">
        <f>"005994"</f>
        <v>005994</v>
      </c>
      <c r="P64" s="4">
        <v>43369</v>
      </c>
      <c r="Q64" s="7">
        <v>19.987200000000001</v>
      </c>
      <c r="R64" s="7">
        <v>1.8188299999999999</v>
      </c>
      <c r="S64" s="7">
        <v>18.168369999999999</v>
      </c>
      <c r="T64" s="5">
        <v>212</v>
      </c>
      <c r="U64" s="4">
        <v>43369</v>
      </c>
      <c r="V64" s="5">
        <v>9900333496</v>
      </c>
      <c r="W64" s="6" t="s">
        <v>74</v>
      </c>
      <c r="X64" s="5" t="s">
        <v>48</v>
      </c>
      <c r="Y64" s="6" t="s">
        <v>47</v>
      </c>
      <c r="Z64" s="5" t="s">
        <v>88</v>
      </c>
      <c r="AA64" s="6" t="s">
        <v>89</v>
      </c>
      <c r="AB64" s="7">
        <f>Q64/100</f>
        <v>0.19987200000000002</v>
      </c>
      <c r="AD64" s="8"/>
      <c r="AF64" s="8"/>
      <c r="AG64" s="8"/>
    </row>
    <row r="65" spans="1:33" x14ac:dyDescent="0.2">
      <c r="A65" s="12">
        <v>5654</v>
      </c>
      <c r="B65" s="13" t="s">
        <v>36</v>
      </c>
      <c r="C65" s="13">
        <v>43370</v>
      </c>
      <c r="D65" s="5">
        <v>67</v>
      </c>
      <c r="E65" s="6" t="s">
        <v>85</v>
      </c>
      <c r="F65" s="5" t="s">
        <v>217</v>
      </c>
      <c r="G65" s="6" t="s">
        <v>218</v>
      </c>
      <c r="H65" s="5" t="str">
        <f>"000176"</f>
        <v>000176</v>
      </c>
      <c r="I65" s="4">
        <v>42592</v>
      </c>
      <c r="J65" s="5" t="str">
        <f>"000224"</f>
        <v>000224</v>
      </c>
      <c r="K65" s="4">
        <v>42632</v>
      </c>
      <c r="L65" s="5" t="str">
        <f>"000700"</f>
        <v>000700</v>
      </c>
      <c r="M65" s="4">
        <v>42633</v>
      </c>
      <c r="N65" s="5">
        <v>16</v>
      </c>
      <c r="O65" s="5" t="str">
        <f>"005773"</f>
        <v>005773</v>
      </c>
      <c r="P65" s="4">
        <v>43360</v>
      </c>
      <c r="Q65" s="7">
        <v>9.4770500000000002</v>
      </c>
      <c r="R65" s="7">
        <v>1.13307</v>
      </c>
      <c r="S65" s="7">
        <v>8.3439800000000002</v>
      </c>
      <c r="T65" s="5">
        <v>216</v>
      </c>
      <c r="U65" s="4">
        <v>43370</v>
      </c>
      <c r="V65" s="5">
        <v>0</v>
      </c>
      <c r="W65" s="6" t="s">
        <v>219</v>
      </c>
      <c r="X65" s="5" t="s">
        <v>29</v>
      </c>
      <c r="Y65" s="6" t="s">
        <v>30</v>
      </c>
      <c r="Z65" s="5" t="s">
        <v>88</v>
      </c>
      <c r="AA65" s="6" t="s">
        <v>89</v>
      </c>
      <c r="AB65" s="7">
        <f>Q65/100</f>
        <v>9.4770500000000008E-2</v>
      </c>
      <c r="AD65" s="8"/>
      <c r="AF65" s="8"/>
      <c r="AG65" s="8"/>
    </row>
    <row r="66" spans="1:33" x14ac:dyDescent="0.2">
      <c r="A66" s="12">
        <v>5655</v>
      </c>
      <c r="B66" s="13" t="s">
        <v>36</v>
      </c>
      <c r="C66" s="13">
        <v>43370</v>
      </c>
      <c r="D66" s="5">
        <v>67</v>
      </c>
      <c r="E66" s="6" t="s">
        <v>85</v>
      </c>
      <c r="F66" s="5" t="s">
        <v>220</v>
      </c>
      <c r="G66" s="6" t="s">
        <v>221</v>
      </c>
      <c r="H66" s="5" t="str">
        <f>"000042"</f>
        <v>000042</v>
      </c>
      <c r="I66" s="4">
        <v>42539</v>
      </c>
      <c r="J66" s="5" t="str">
        <f>"000141"</f>
        <v>000141</v>
      </c>
      <c r="K66" s="4">
        <v>42916</v>
      </c>
      <c r="L66" s="5" t="str">
        <f>"000360"</f>
        <v>000360</v>
      </c>
      <c r="M66" s="4">
        <v>42916</v>
      </c>
      <c r="N66" s="5">
        <v>15</v>
      </c>
      <c r="O66" s="5" t="str">
        <f>"005823"</f>
        <v>005823</v>
      </c>
      <c r="P66" s="4">
        <v>43362</v>
      </c>
      <c r="Q66" s="7">
        <v>8.8396699999999999</v>
      </c>
      <c r="R66" s="7">
        <v>0.63922000000000001</v>
      </c>
      <c r="S66" s="7">
        <v>8.20045</v>
      </c>
      <c r="T66" s="5">
        <v>219</v>
      </c>
      <c r="U66" s="4">
        <v>43370</v>
      </c>
      <c r="V66" s="5">
        <v>9945299158</v>
      </c>
      <c r="W66" s="6" t="s">
        <v>81</v>
      </c>
      <c r="X66" s="5" t="s">
        <v>29</v>
      </c>
      <c r="Y66" s="6" t="s">
        <v>30</v>
      </c>
      <c r="Z66" s="5" t="s">
        <v>88</v>
      </c>
      <c r="AA66" s="6" t="s">
        <v>89</v>
      </c>
      <c r="AB66" s="7">
        <f>Q66/100</f>
        <v>8.8396699999999995E-2</v>
      </c>
      <c r="AD66" s="8"/>
      <c r="AF66" s="8"/>
      <c r="AG66" s="8"/>
    </row>
    <row r="67" spans="1:33" x14ac:dyDescent="0.2">
      <c r="A67" s="12">
        <v>5656</v>
      </c>
      <c r="B67" s="13" t="s">
        <v>36</v>
      </c>
      <c r="C67" s="13">
        <v>43370</v>
      </c>
      <c r="D67" s="5">
        <v>67</v>
      </c>
      <c r="E67" s="6" t="s">
        <v>85</v>
      </c>
      <c r="F67" s="5" t="s">
        <v>222</v>
      </c>
      <c r="G67" s="6" t="s">
        <v>223</v>
      </c>
      <c r="H67" s="5" t="str">
        <f>"000036"</f>
        <v>000036</v>
      </c>
      <c r="I67" s="4">
        <v>42870</v>
      </c>
      <c r="J67" s="5" t="str">
        <f>"000025"</f>
        <v>000025</v>
      </c>
      <c r="K67" s="4">
        <v>42989</v>
      </c>
      <c r="L67" s="5" t="str">
        <f>"000045"</f>
        <v>000045</v>
      </c>
      <c r="M67" s="4">
        <v>42989</v>
      </c>
      <c r="N67" s="5">
        <v>17</v>
      </c>
      <c r="O67" s="5" t="str">
        <f>"005832"</f>
        <v>005832</v>
      </c>
      <c r="P67" s="4">
        <v>43362</v>
      </c>
      <c r="Q67" s="7">
        <v>29.991620000000001</v>
      </c>
      <c r="R67" s="7">
        <v>4.0912800000000002</v>
      </c>
      <c r="S67" s="7">
        <v>25.90034</v>
      </c>
      <c r="T67" s="5">
        <v>219</v>
      </c>
      <c r="U67" s="4">
        <v>43370</v>
      </c>
      <c r="V67" s="5">
        <v>9900333496</v>
      </c>
      <c r="W67" s="6" t="s">
        <v>74</v>
      </c>
      <c r="X67" s="5" t="s">
        <v>58</v>
      </c>
      <c r="Y67" s="6" t="s">
        <v>57</v>
      </c>
      <c r="Z67" s="5" t="s">
        <v>88</v>
      </c>
      <c r="AA67" s="6" t="s">
        <v>89</v>
      </c>
      <c r="AB67" s="7">
        <f>Q67/100</f>
        <v>0.29991620000000002</v>
      </c>
      <c r="AD67" s="8"/>
      <c r="AF67" s="8"/>
      <c r="AG67" s="8"/>
    </row>
    <row r="68" spans="1:33" x14ac:dyDescent="0.2">
      <c r="A68" s="12">
        <v>5657</v>
      </c>
      <c r="B68" s="13" t="s">
        <v>36</v>
      </c>
      <c r="C68" s="13">
        <v>43370</v>
      </c>
      <c r="D68" s="5">
        <v>67</v>
      </c>
      <c r="E68" s="6" t="s">
        <v>85</v>
      </c>
      <c r="F68" s="5" t="s">
        <v>224</v>
      </c>
      <c r="G68" s="6" t="s">
        <v>225</v>
      </c>
      <c r="H68" s="5" t="str">
        <f>"000505"</f>
        <v>000505</v>
      </c>
      <c r="I68" s="4">
        <v>42808</v>
      </c>
      <c r="J68" s="5" t="str">
        <f>"000028"</f>
        <v>000028</v>
      </c>
      <c r="K68" s="4">
        <v>42993</v>
      </c>
      <c r="L68" s="5" t="str">
        <f>"000050"</f>
        <v>000050</v>
      </c>
      <c r="M68" s="4">
        <v>42993</v>
      </c>
      <c r="N68" s="5">
        <v>17</v>
      </c>
      <c r="O68" s="5" t="str">
        <f>"005833"</f>
        <v>005833</v>
      </c>
      <c r="P68" s="4">
        <v>43362</v>
      </c>
      <c r="Q68" s="7">
        <v>19.752220000000001</v>
      </c>
      <c r="R68" s="7">
        <v>2.6998700000000002</v>
      </c>
      <c r="S68" s="7">
        <v>17.052350000000001</v>
      </c>
      <c r="T68" s="5">
        <v>219</v>
      </c>
      <c r="U68" s="4">
        <v>43370</v>
      </c>
      <c r="V68" s="5">
        <v>9900333496</v>
      </c>
      <c r="W68" s="6" t="s">
        <v>74</v>
      </c>
      <c r="X68" s="5" t="s">
        <v>58</v>
      </c>
      <c r="Y68" s="6" t="s">
        <v>57</v>
      </c>
      <c r="Z68" s="5" t="s">
        <v>88</v>
      </c>
      <c r="AA68" s="6" t="s">
        <v>89</v>
      </c>
      <c r="AB68" s="7">
        <f>Q68/100</f>
        <v>0.19752220000000001</v>
      </c>
      <c r="AD68" s="8"/>
      <c r="AF68" s="8"/>
      <c r="AG68" s="8"/>
    </row>
    <row r="69" spans="1:33" x14ac:dyDescent="0.2">
      <c r="A69" s="12">
        <v>6066</v>
      </c>
      <c r="B69" s="13" t="s">
        <v>43</v>
      </c>
      <c r="C69" s="13">
        <v>43385</v>
      </c>
      <c r="D69" s="5">
        <v>67</v>
      </c>
      <c r="E69" s="6" t="s">
        <v>85</v>
      </c>
      <c r="F69" s="5" t="s">
        <v>226</v>
      </c>
      <c r="G69" s="6" t="s">
        <v>227</v>
      </c>
      <c r="H69" s="5" t="str">
        <f>"000364"</f>
        <v>000364</v>
      </c>
      <c r="I69" s="4">
        <v>42726</v>
      </c>
      <c r="J69" s="5" t="str">
        <f>"000018"</f>
        <v>000018</v>
      </c>
      <c r="K69" s="4">
        <v>42853</v>
      </c>
      <c r="L69" s="5" t="str">
        <f>"000082"</f>
        <v>000082</v>
      </c>
      <c r="M69" s="4">
        <v>42853</v>
      </c>
      <c r="N69" s="5">
        <v>15</v>
      </c>
      <c r="O69" s="5" t="str">
        <f>"006054"</f>
        <v>006054</v>
      </c>
      <c r="P69" s="4">
        <v>43374</v>
      </c>
      <c r="Q69" s="7">
        <v>8.6897300000000008</v>
      </c>
      <c r="R69" s="7">
        <v>0.74043999999999999</v>
      </c>
      <c r="S69" s="7">
        <v>7.9492900000000004</v>
      </c>
      <c r="T69" s="5">
        <v>230</v>
      </c>
      <c r="U69" s="4">
        <v>43385</v>
      </c>
      <c r="V69" s="5">
        <v>9739449007</v>
      </c>
      <c r="W69" s="6" t="s">
        <v>228</v>
      </c>
      <c r="X69" s="5" t="s">
        <v>29</v>
      </c>
      <c r="Y69" s="6" t="s">
        <v>30</v>
      </c>
      <c r="Z69" s="5" t="s">
        <v>88</v>
      </c>
      <c r="AA69" s="6" t="s">
        <v>89</v>
      </c>
      <c r="AB69" s="7">
        <f>Q69/100</f>
        <v>8.6897300000000011E-2</v>
      </c>
      <c r="AD69" s="8"/>
      <c r="AF69" s="8"/>
      <c r="AG69" s="8"/>
    </row>
    <row r="70" spans="1:33" x14ac:dyDescent="0.2">
      <c r="A70" s="12">
        <v>6067</v>
      </c>
      <c r="B70" s="13" t="s">
        <v>43</v>
      </c>
      <c r="C70" s="13">
        <v>43385</v>
      </c>
      <c r="D70" s="5">
        <v>67</v>
      </c>
      <c r="E70" s="6" t="s">
        <v>85</v>
      </c>
      <c r="F70" s="5" t="s">
        <v>229</v>
      </c>
      <c r="G70" s="6" t="s">
        <v>230</v>
      </c>
      <c r="H70" s="5" t="str">
        <f>"000010"</f>
        <v>000010</v>
      </c>
      <c r="I70" s="4">
        <v>42570</v>
      </c>
      <c r="J70" s="5" t="str">
        <f>"000069"</f>
        <v>000069</v>
      </c>
      <c r="K70" s="4">
        <v>43312</v>
      </c>
      <c r="L70" s="5" t="str">
        <f>"000070"</f>
        <v>000070</v>
      </c>
      <c r="M70" s="4">
        <v>43312</v>
      </c>
      <c r="N70" s="5">
        <v>16</v>
      </c>
      <c r="O70" s="5" t="str">
        <f>"006376"</f>
        <v>006376</v>
      </c>
      <c r="P70" s="4">
        <v>43380</v>
      </c>
      <c r="Q70" s="7">
        <v>36.07638</v>
      </c>
      <c r="R70" s="7">
        <v>2.9222000000000001</v>
      </c>
      <c r="S70" s="7">
        <v>33.154179999999997</v>
      </c>
      <c r="T70" s="5">
        <v>233</v>
      </c>
      <c r="U70" s="4">
        <v>43385</v>
      </c>
      <c r="V70" s="5">
        <v>9845339329</v>
      </c>
      <c r="W70" s="6" t="s">
        <v>231</v>
      </c>
      <c r="X70" s="5" t="s">
        <v>42</v>
      </c>
      <c r="Y70" s="6" t="s">
        <v>41</v>
      </c>
      <c r="Z70" s="5" t="s">
        <v>75</v>
      </c>
      <c r="AA70" s="6" t="s">
        <v>76</v>
      </c>
      <c r="AB70" s="7">
        <f>Q70/100</f>
        <v>0.36076380000000002</v>
      </c>
      <c r="AD70" s="8"/>
      <c r="AF70" s="8"/>
      <c r="AG70" s="8"/>
    </row>
    <row r="71" spans="1:33" x14ac:dyDescent="0.2">
      <c r="A71" s="12">
        <v>6543</v>
      </c>
      <c r="B71" s="13" t="s">
        <v>43</v>
      </c>
      <c r="C71" s="13">
        <v>43389</v>
      </c>
      <c r="D71" s="5">
        <v>67</v>
      </c>
      <c r="E71" s="6" t="s">
        <v>85</v>
      </c>
      <c r="F71" s="5" t="s">
        <v>232</v>
      </c>
      <c r="G71" s="6" t="s">
        <v>233</v>
      </c>
      <c r="H71" s="5" t="str">
        <f>"444444"</f>
        <v>444444</v>
      </c>
      <c r="I71" s="4">
        <v>42763</v>
      </c>
      <c r="J71" s="5" t="str">
        <f>"000114"</f>
        <v>000114</v>
      </c>
      <c r="K71" s="4">
        <v>43342</v>
      </c>
      <c r="L71" s="5" t="str">
        <f>"000259"</f>
        <v>000259</v>
      </c>
      <c r="M71" s="4">
        <v>43343</v>
      </c>
      <c r="N71" s="5">
        <v>16</v>
      </c>
      <c r="O71" s="5" t="str">
        <f>"006624"</f>
        <v>006624</v>
      </c>
      <c r="P71" s="4">
        <v>43385</v>
      </c>
      <c r="Q71" s="7">
        <v>51.17615</v>
      </c>
      <c r="R71" s="7">
        <v>1.4615400000000001</v>
      </c>
      <c r="S71" s="7">
        <v>49.71461</v>
      </c>
      <c r="T71" s="5">
        <v>235</v>
      </c>
      <c r="U71" s="4">
        <v>43389</v>
      </c>
      <c r="V71" s="5">
        <v>0</v>
      </c>
      <c r="W71" s="6" t="s">
        <v>234</v>
      </c>
      <c r="X71" s="5" t="s">
        <v>42</v>
      </c>
      <c r="Y71" s="6" t="s">
        <v>41</v>
      </c>
      <c r="Z71" s="5" t="s">
        <v>88</v>
      </c>
      <c r="AA71" s="6" t="s">
        <v>89</v>
      </c>
      <c r="AB71" s="7">
        <f>Q71/100</f>
        <v>0.51176149999999998</v>
      </c>
      <c r="AD71" s="8"/>
      <c r="AF71" s="8"/>
      <c r="AG71" s="8"/>
    </row>
    <row r="72" spans="1:33" x14ac:dyDescent="0.2">
      <c r="A72" s="12">
        <v>6745</v>
      </c>
      <c r="B72" s="13" t="s">
        <v>43</v>
      </c>
      <c r="C72" s="13">
        <v>43390</v>
      </c>
      <c r="D72" s="5">
        <v>67</v>
      </c>
      <c r="E72" s="6" t="s">
        <v>85</v>
      </c>
      <c r="F72" s="5" t="s">
        <v>235</v>
      </c>
      <c r="G72" s="6" t="s">
        <v>236</v>
      </c>
      <c r="H72" s="5" t="str">
        <f>"000098"</f>
        <v>000098</v>
      </c>
      <c r="I72" s="4">
        <v>43337</v>
      </c>
      <c r="J72" s="5" t="str">
        <f>"000124"</f>
        <v>000124</v>
      </c>
      <c r="K72" s="4">
        <v>43369</v>
      </c>
      <c r="L72" s="5" t="str">
        <f>"000289"</f>
        <v>000289</v>
      </c>
      <c r="M72" s="4">
        <v>43369</v>
      </c>
      <c r="N72" s="5">
        <v>18</v>
      </c>
      <c r="O72" s="5" t="str">
        <f>"006805"</f>
        <v>006805</v>
      </c>
      <c r="P72" s="4">
        <v>43389</v>
      </c>
      <c r="Q72" s="7">
        <v>9.46997</v>
      </c>
      <c r="R72" s="7">
        <v>0.37502999999999997</v>
      </c>
      <c r="S72" s="7">
        <v>9.0949399999999994</v>
      </c>
      <c r="T72" s="5">
        <v>245</v>
      </c>
      <c r="U72" s="4">
        <v>43390</v>
      </c>
      <c r="V72" s="5">
        <v>9900333496</v>
      </c>
      <c r="W72" s="6" t="s">
        <v>237</v>
      </c>
      <c r="X72" s="5" t="s">
        <v>71</v>
      </c>
      <c r="Y72" s="6" t="s">
        <v>70</v>
      </c>
      <c r="Z72" s="5" t="s">
        <v>88</v>
      </c>
      <c r="AA72" s="6" t="s">
        <v>89</v>
      </c>
      <c r="AB72" s="7">
        <f>Q72/100</f>
        <v>9.4699699999999998E-2</v>
      </c>
      <c r="AD72" s="8"/>
      <c r="AF72" s="8"/>
      <c r="AG72" s="8"/>
    </row>
    <row r="73" spans="1:33" x14ac:dyDescent="0.2">
      <c r="A73" s="12">
        <v>6849</v>
      </c>
      <c r="B73" s="13" t="s">
        <v>43</v>
      </c>
      <c r="C73" s="13">
        <v>43398</v>
      </c>
      <c r="D73" s="5">
        <v>67</v>
      </c>
      <c r="E73" s="6" t="s">
        <v>85</v>
      </c>
      <c r="F73" s="5" t="s">
        <v>238</v>
      </c>
      <c r="G73" s="6" t="s">
        <v>239</v>
      </c>
      <c r="H73" s="5" t="str">
        <f>"000006"</f>
        <v>000006</v>
      </c>
      <c r="I73" s="4">
        <v>43096</v>
      </c>
      <c r="J73" s="5" t="str">
        <f>"000076"</f>
        <v>000076</v>
      </c>
      <c r="K73" s="4">
        <v>43096</v>
      </c>
      <c r="L73" s="5" t="str">
        <f>"000090"</f>
        <v>000090</v>
      </c>
      <c r="M73" s="4">
        <v>43096</v>
      </c>
      <c r="N73" s="5">
        <v>17</v>
      </c>
      <c r="O73" s="5" t="str">
        <f>"006904"</f>
        <v>006904</v>
      </c>
      <c r="P73" s="4">
        <v>43395</v>
      </c>
      <c r="Q73" s="7">
        <v>49.976900000000001</v>
      </c>
      <c r="R73" s="7">
        <v>5.0476999999999999</v>
      </c>
      <c r="S73" s="7">
        <v>44.929200000000002</v>
      </c>
      <c r="T73" s="5">
        <v>248</v>
      </c>
      <c r="U73" s="4">
        <v>43398</v>
      </c>
      <c r="V73" s="5">
        <v>9845132243</v>
      </c>
      <c r="W73" s="6" t="s">
        <v>61</v>
      </c>
      <c r="X73" s="5" t="s">
        <v>79</v>
      </c>
      <c r="Y73" s="6" t="s">
        <v>80</v>
      </c>
      <c r="Z73" s="5" t="s">
        <v>75</v>
      </c>
      <c r="AA73" s="6" t="s">
        <v>76</v>
      </c>
      <c r="AB73" s="7">
        <f>Q73/100</f>
        <v>0.49976900000000002</v>
      </c>
      <c r="AD73" s="8"/>
      <c r="AF73" s="8"/>
      <c r="AG73" s="8"/>
    </row>
    <row r="74" spans="1:33" x14ac:dyDescent="0.2">
      <c r="A74" s="12">
        <v>6850</v>
      </c>
      <c r="B74" s="13" t="s">
        <v>43</v>
      </c>
      <c r="C74" s="13">
        <v>43398</v>
      </c>
      <c r="D74" s="5">
        <v>67</v>
      </c>
      <c r="E74" s="6" t="s">
        <v>85</v>
      </c>
      <c r="F74" s="5" t="s">
        <v>240</v>
      </c>
      <c r="G74" s="6" t="s">
        <v>241</v>
      </c>
      <c r="H74" s="5" t="str">
        <f>"000005"</f>
        <v>000005</v>
      </c>
      <c r="I74" s="4">
        <v>43096</v>
      </c>
      <c r="J74" s="5" t="str">
        <f>"000075"</f>
        <v>000075</v>
      </c>
      <c r="K74" s="4">
        <v>43096</v>
      </c>
      <c r="L74" s="5" t="str">
        <f>"000091"</f>
        <v>000091</v>
      </c>
      <c r="M74" s="4">
        <v>43096</v>
      </c>
      <c r="N74" s="5">
        <v>17</v>
      </c>
      <c r="O74" s="5" t="str">
        <f>"006905"</f>
        <v>006905</v>
      </c>
      <c r="P74" s="4">
        <v>43395</v>
      </c>
      <c r="Q74" s="7">
        <v>49.994120000000002</v>
      </c>
      <c r="R74" s="7">
        <v>5.0494000000000003</v>
      </c>
      <c r="S74" s="7">
        <v>44.944719999999997</v>
      </c>
      <c r="T74" s="5">
        <v>248</v>
      </c>
      <c r="U74" s="4">
        <v>43398</v>
      </c>
      <c r="V74" s="5">
        <v>9845132243</v>
      </c>
      <c r="W74" s="6" t="s">
        <v>242</v>
      </c>
      <c r="X74" s="5" t="s">
        <v>79</v>
      </c>
      <c r="Y74" s="6" t="s">
        <v>80</v>
      </c>
      <c r="Z74" s="5" t="s">
        <v>75</v>
      </c>
      <c r="AA74" s="6" t="s">
        <v>76</v>
      </c>
      <c r="AB74" s="7">
        <f>Q74/100</f>
        <v>0.49994120000000003</v>
      </c>
      <c r="AD74" s="8"/>
      <c r="AF74" s="8"/>
      <c r="AG74" s="8"/>
    </row>
    <row r="75" spans="1:33" x14ac:dyDescent="0.2">
      <c r="A75" s="12">
        <v>7070</v>
      </c>
      <c r="B75" s="13" t="s">
        <v>43</v>
      </c>
      <c r="C75" s="13">
        <v>43404</v>
      </c>
      <c r="D75" s="5">
        <v>67</v>
      </c>
      <c r="E75" s="6" t="s">
        <v>85</v>
      </c>
      <c r="F75" s="5" t="s">
        <v>243</v>
      </c>
      <c r="G75" s="6" t="s">
        <v>244</v>
      </c>
      <c r="H75" s="5" t="str">
        <f>"000042"</f>
        <v>000042</v>
      </c>
      <c r="I75" s="4">
        <v>43262</v>
      </c>
      <c r="J75" s="5" t="str">
        <f>"000057"</f>
        <v>000057</v>
      </c>
      <c r="K75" s="4">
        <v>43276</v>
      </c>
      <c r="L75" s="5" t="str">
        <f>"000123"</f>
        <v>000123</v>
      </c>
      <c r="M75" s="4">
        <v>43276</v>
      </c>
      <c r="N75" s="5">
        <v>18</v>
      </c>
      <c r="O75" s="5" t="str">
        <f>"007048"</f>
        <v>007048</v>
      </c>
      <c r="P75" s="4">
        <v>43400</v>
      </c>
      <c r="Q75" s="7">
        <v>15.994719999999999</v>
      </c>
      <c r="R75" s="7">
        <v>1.49318</v>
      </c>
      <c r="S75" s="7">
        <v>14.50154</v>
      </c>
      <c r="T75" s="5">
        <v>260</v>
      </c>
      <c r="U75" s="4">
        <v>43404</v>
      </c>
      <c r="V75" s="5">
        <v>9900333496</v>
      </c>
      <c r="W75" s="6" t="s">
        <v>74</v>
      </c>
      <c r="X75" s="5" t="s">
        <v>42</v>
      </c>
      <c r="Y75" s="6" t="s">
        <v>41</v>
      </c>
      <c r="Z75" s="5" t="s">
        <v>88</v>
      </c>
      <c r="AA75" s="6" t="s">
        <v>89</v>
      </c>
      <c r="AB75" s="7">
        <f>Q75/100</f>
        <v>0.15994719999999998</v>
      </c>
      <c r="AD75" s="8"/>
      <c r="AF75" s="8"/>
      <c r="AG75" s="8"/>
    </row>
    <row r="76" spans="1:33" x14ac:dyDescent="0.2">
      <c r="A76" s="12">
        <v>7221</v>
      </c>
      <c r="B76" s="13" t="s">
        <v>39</v>
      </c>
      <c r="C76" s="13">
        <v>43420</v>
      </c>
      <c r="D76" s="5">
        <v>67</v>
      </c>
      <c r="E76" s="6" t="s">
        <v>85</v>
      </c>
      <c r="F76" s="5" t="s">
        <v>245</v>
      </c>
      <c r="G76" s="6" t="s">
        <v>246</v>
      </c>
      <c r="H76" s="5" t="str">
        <f>"000080"</f>
        <v>000080</v>
      </c>
      <c r="I76" s="4">
        <v>42723</v>
      </c>
      <c r="J76" s="5" t="str">
        <f>"000060"</f>
        <v>000060</v>
      </c>
      <c r="K76" s="4">
        <v>43283</v>
      </c>
      <c r="L76" s="5" t="str">
        <f>"000060"</f>
        <v>000060</v>
      </c>
      <c r="M76" s="4">
        <v>43283</v>
      </c>
      <c r="N76" s="5">
        <v>17</v>
      </c>
      <c r="O76" s="5" t="str">
        <f>"007307"</f>
        <v>007307</v>
      </c>
      <c r="P76" s="4">
        <v>43417</v>
      </c>
      <c r="Q76" s="7">
        <v>1.87</v>
      </c>
      <c r="R76" s="7">
        <v>0.187</v>
      </c>
      <c r="S76" s="7">
        <v>1.6830000000000001</v>
      </c>
      <c r="T76" s="5">
        <v>265</v>
      </c>
      <c r="U76" s="4">
        <v>43420</v>
      </c>
      <c r="V76" s="5">
        <v>9844024123</v>
      </c>
      <c r="W76" s="6" t="s">
        <v>247</v>
      </c>
      <c r="X76" s="5" t="s">
        <v>37</v>
      </c>
      <c r="Y76" s="6" t="s">
        <v>38</v>
      </c>
      <c r="Z76" s="5" t="s">
        <v>75</v>
      </c>
      <c r="AA76" s="6" t="s">
        <v>76</v>
      </c>
      <c r="AB76" s="7">
        <f>Q76/100</f>
        <v>1.8700000000000001E-2</v>
      </c>
      <c r="AD76" s="8"/>
      <c r="AF76" s="8"/>
      <c r="AG76" s="8"/>
    </row>
    <row r="77" spans="1:33" x14ac:dyDescent="0.2">
      <c r="A77" s="12">
        <v>7373</v>
      </c>
      <c r="B77" s="13" t="s">
        <v>39</v>
      </c>
      <c r="C77" s="13">
        <v>43427</v>
      </c>
      <c r="D77" s="5">
        <v>67</v>
      </c>
      <c r="E77" s="6" t="s">
        <v>85</v>
      </c>
      <c r="F77" s="5" t="s">
        <v>248</v>
      </c>
      <c r="G77" s="6" t="s">
        <v>249</v>
      </c>
      <c r="H77" s="5" t="str">
        <f>"000102"</f>
        <v>000102</v>
      </c>
      <c r="I77" s="4">
        <v>43340</v>
      </c>
      <c r="J77" s="5" t="str">
        <f>"000133"</f>
        <v>000133</v>
      </c>
      <c r="K77" s="4">
        <v>43374</v>
      </c>
      <c r="L77" s="5" t="str">
        <f>"000338"</f>
        <v>000338</v>
      </c>
      <c r="M77" s="4">
        <v>43398</v>
      </c>
      <c r="N77" s="5">
        <v>18</v>
      </c>
      <c r="O77" s="5" t="str">
        <f>"007524"</f>
        <v>007524</v>
      </c>
      <c r="P77" s="4">
        <v>43426</v>
      </c>
      <c r="Q77" s="7">
        <v>14.997210000000001</v>
      </c>
      <c r="R77" s="7">
        <v>1.43696</v>
      </c>
      <c r="S77" s="7">
        <v>13.56025</v>
      </c>
      <c r="T77" s="5">
        <v>272</v>
      </c>
      <c r="U77" s="4">
        <v>43427</v>
      </c>
      <c r="V77" s="5">
        <v>9900333496</v>
      </c>
      <c r="W77" s="6" t="s">
        <v>74</v>
      </c>
      <c r="X77" s="5" t="s">
        <v>65</v>
      </c>
      <c r="Y77" s="6" t="s">
        <v>64</v>
      </c>
      <c r="Z77" s="5" t="s">
        <v>88</v>
      </c>
      <c r="AA77" s="6" t="s">
        <v>89</v>
      </c>
      <c r="AB77" s="7">
        <f>Q77/100</f>
        <v>0.1499721</v>
      </c>
      <c r="AD77" s="8"/>
      <c r="AF77" s="8"/>
      <c r="AG77" s="8"/>
    </row>
    <row r="78" spans="1:33" x14ac:dyDescent="0.2">
      <c r="A78" s="12">
        <v>7405</v>
      </c>
      <c r="B78" s="13" t="s">
        <v>39</v>
      </c>
      <c r="C78" s="13">
        <v>43431</v>
      </c>
      <c r="D78" s="5">
        <v>67</v>
      </c>
      <c r="E78" s="6" t="s">
        <v>85</v>
      </c>
      <c r="F78" s="5" t="s">
        <v>250</v>
      </c>
      <c r="G78" s="6" t="s">
        <v>251</v>
      </c>
      <c r="H78" s="5" t="str">
        <f>"000397"</f>
        <v>000397</v>
      </c>
      <c r="I78" s="4">
        <v>43185</v>
      </c>
      <c r="J78" s="5" t="str">
        <f>"000012"</f>
        <v>000012</v>
      </c>
      <c r="K78" s="4">
        <v>43203</v>
      </c>
      <c r="L78" s="5" t="str">
        <f>"000028"</f>
        <v>000028</v>
      </c>
      <c r="M78" s="4">
        <v>43203</v>
      </c>
      <c r="N78" s="5">
        <v>18</v>
      </c>
      <c r="O78" s="5" t="str">
        <f>"007575"</f>
        <v>007575</v>
      </c>
      <c r="P78" s="4">
        <v>43427</v>
      </c>
      <c r="Q78" s="7">
        <v>29.9984</v>
      </c>
      <c r="R78" s="7">
        <v>3.5697000000000001</v>
      </c>
      <c r="S78" s="7">
        <v>26.428699999999999</v>
      </c>
      <c r="T78" s="5">
        <v>275</v>
      </c>
      <c r="U78" s="4">
        <v>43431</v>
      </c>
      <c r="V78" s="5">
        <v>9900333496</v>
      </c>
      <c r="W78" s="6" t="s">
        <v>74</v>
      </c>
      <c r="X78" s="5" t="s">
        <v>60</v>
      </c>
      <c r="Y78" s="6" t="s">
        <v>59</v>
      </c>
      <c r="Z78" s="5" t="s">
        <v>88</v>
      </c>
      <c r="AA78" s="6" t="s">
        <v>89</v>
      </c>
      <c r="AB78" s="7">
        <f>Q78/100</f>
        <v>0.29998400000000003</v>
      </c>
      <c r="AD78" s="8"/>
      <c r="AF78" s="8"/>
      <c r="AG78" s="8"/>
    </row>
    <row r="79" spans="1:33" x14ac:dyDescent="0.2">
      <c r="A79" s="12">
        <v>7406</v>
      </c>
      <c r="B79" s="13" t="s">
        <v>39</v>
      </c>
      <c r="C79" s="13">
        <v>43431</v>
      </c>
      <c r="D79" s="5">
        <v>67</v>
      </c>
      <c r="E79" s="6" t="s">
        <v>85</v>
      </c>
      <c r="F79" s="5" t="s">
        <v>252</v>
      </c>
      <c r="G79" s="6" t="s">
        <v>253</v>
      </c>
      <c r="H79" s="5" t="str">
        <f>"000345"</f>
        <v>000345</v>
      </c>
      <c r="I79" s="4">
        <v>43179</v>
      </c>
      <c r="J79" s="5" t="str">
        <f>"000011"</f>
        <v>000011</v>
      </c>
      <c r="K79" s="4">
        <v>43203</v>
      </c>
      <c r="L79" s="5" t="str">
        <f>"000027"</f>
        <v>000027</v>
      </c>
      <c r="M79" s="4">
        <v>43203</v>
      </c>
      <c r="N79" s="5">
        <v>18</v>
      </c>
      <c r="O79" s="5" t="str">
        <f>"007576"</f>
        <v>007576</v>
      </c>
      <c r="P79" s="4">
        <v>43427</v>
      </c>
      <c r="Q79" s="7">
        <v>9.9914199999999997</v>
      </c>
      <c r="R79" s="7">
        <v>1.0839799999999999</v>
      </c>
      <c r="S79" s="7">
        <v>8.9074399999999994</v>
      </c>
      <c r="T79" s="5">
        <v>275</v>
      </c>
      <c r="U79" s="4">
        <v>43431</v>
      </c>
      <c r="V79" s="5">
        <v>9900333496</v>
      </c>
      <c r="W79" s="6" t="s">
        <v>74</v>
      </c>
      <c r="X79" s="5" t="s">
        <v>60</v>
      </c>
      <c r="Y79" s="6" t="s">
        <v>59</v>
      </c>
      <c r="Z79" s="5" t="s">
        <v>88</v>
      </c>
      <c r="AA79" s="6" t="s">
        <v>89</v>
      </c>
      <c r="AB79" s="7">
        <f>Q79/100</f>
        <v>9.9914199999999995E-2</v>
      </c>
      <c r="AD79" s="8"/>
      <c r="AF79" s="8"/>
      <c r="AG79" s="8"/>
    </row>
    <row r="80" spans="1:33" x14ac:dyDescent="0.2">
      <c r="A80" s="12">
        <v>7407</v>
      </c>
      <c r="B80" s="13" t="s">
        <v>39</v>
      </c>
      <c r="C80" s="13">
        <v>43431</v>
      </c>
      <c r="D80" s="5">
        <v>67</v>
      </c>
      <c r="E80" s="6" t="s">
        <v>85</v>
      </c>
      <c r="F80" s="5" t="s">
        <v>254</v>
      </c>
      <c r="G80" s="6" t="s">
        <v>255</v>
      </c>
      <c r="H80" s="5" t="str">
        <f>"000404"</f>
        <v>000404</v>
      </c>
      <c r="I80" s="4">
        <v>43185</v>
      </c>
      <c r="J80" s="5" t="str">
        <f>"000010"</f>
        <v>000010</v>
      </c>
      <c r="K80" s="4">
        <v>43203</v>
      </c>
      <c r="L80" s="5" t="str">
        <f>"000026"</f>
        <v>000026</v>
      </c>
      <c r="M80" s="4">
        <v>43203</v>
      </c>
      <c r="N80" s="5">
        <v>18</v>
      </c>
      <c r="O80" s="5" t="str">
        <f>"007577"</f>
        <v>007577</v>
      </c>
      <c r="P80" s="4">
        <v>43427</v>
      </c>
      <c r="Q80" s="7">
        <v>29.998000000000001</v>
      </c>
      <c r="R80" s="7">
        <v>3.4797899999999999</v>
      </c>
      <c r="S80" s="7">
        <v>26.51821</v>
      </c>
      <c r="T80" s="5">
        <v>275</v>
      </c>
      <c r="U80" s="4">
        <v>43431</v>
      </c>
      <c r="V80" s="5">
        <v>9900333496</v>
      </c>
      <c r="W80" s="6" t="s">
        <v>74</v>
      </c>
      <c r="X80" s="5" t="s">
        <v>60</v>
      </c>
      <c r="Y80" s="6" t="s">
        <v>59</v>
      </c>
      <c r="Z80" s="5" t="s">
        <v>88</v>
      </c>
      <c r="AA80" s="6" t="s">
        <v>89</v>
      </c>
      <c r="AB80" s="7">
        <f>Q80/100</f>
        <v>0.29998000000000002</v>
      </c>
      <c r="AD80" s="8"/>
      <c r="AF80" s="8"/>
      <c r="AG80" s="8"/>
    </row>
    <row r="81" spans="1:33" x14ac:dyDescent="0.2">
      <c r="A81" s="12">
        <v>7408</v>
      </c>
      <c r="B81" s="13" t="s">
        <v>39</v>
      </c>
      <c r="C81" s="13">
        <v>43431</v>
      </c>
      <c r="D81" s="5">
        <v>67</v>
      </c>
      <c r="E81" s="6" t="s">
        <v>85</v>
      </c>
      <c r="F81" s="5" t="s">
        <v>256</v>
      </c>
      <c r="G81" s="6" t="s">
        <v>257</v>
      </c>
      <c r="H81" s="5" t="str">
        <f>"000226"</f>
        <v>000226</v>
      </c>
      <c r="I81" s="4">
        <v>43152</v>
      </c>
      <c r="J81" s="5" t="str">
        <f>"000096"</f>
        <v>000096</v>
      </c>
      <c r="K81" s="4">
        <v>43153</v>
      </c>
      <c r="L81" s="5" t="str">
        <f>"000223"</f>
        <v>000223</v>
      </c>
      <c r="M81" s="4">
        <v>43153</v>
      </c>
      <c r="N81" s="5">
        <v>18</v>
      </c>
      <c r="O81" s="5" t="str">
        <f>"007578"</f>
        <v>007578</v>
      </c>
      <c r="P81" s="4">
        <v>43427</v>
      </c>
      <c r="Q81" s="7">
        <v>24.865939999999998</v>
      </c>
      <c r="R81" s="7">
        <v>2.8858000000000001</v>
      </c>
      <c r="S81" s="7">
        <v>21.980139999999999</v>
      </c>
      <c r="T81" s="5">
        <v>275</v>
      </c>
      <c r="U81" s="4">
        <v>43431</v>
      </c>
      <c r="V81" s="5">
        <v>9900333496</v>
      </c>
      <c r="W81" s="6" t="s">
        <v>54</v>
      </c>
      <c r="X81" s="5" t="s">
        <v>258</v>
      </c>
      <c r="Y81" s="6" t="s">
        <v>259</v>
      </c>
      <c r="Z81" s="5" t="s">
        <v>88</v>
      </c>
      <c r="AA81" s="6" t="s">
        <v>89</v>
      </c>
      <c r="AB81" s="7">
        <f>Q81/100</f>
        <v>0.24865939999999997</v>
      </c>
      <c r="AD81" s="8"/>
      <c r="AF81" s="8"/>
      <c r="AG81" s="8"/>
    </row>
    <row r="82" spans="1:33" x14ac:dyDescent="0.2">
      <c r="A82" s="12">
        <v>7409</v>
      </c>
      <c r="B82" s="13" t="s">
        <v>39</v>
      </c>
      <c r="C82" s="13">
        <v>43431</v>
      </c>
      <c r="D82" s="5">
        <v>67</v>
      </c>
      <c r="E82" s="6" t="s">
        <v>85</v>
      </c>
      <c r="F82" s="5" t="s">
        <v>260</v>
      </c>
      <c r="G82" s="6" t="s">
        <v>261</v>
      </c>
      <c r="H82" s="5" t="str">
        <f>"000031"</f>
        <v>000031</v>
      </c>
      <c r="I82" s="4">
        <v>42870</v>
      </c>
      <c r="J82" s="5" t="str">
        <f>"000095"</f>
        <v>000095</v>
      </c>
      <c r="K82" s="4">
        <v>43153</v>
      </c>
      <c r="L82" s="5" t="str">
        <f>"000222"</f>
        <v>000222</v>
      </c>
      <c r="M82" s="4">
        <v>43153</v>
      </c>
      <c r="N82" s="5">
        <v>17</v>
      </c>
      <c r="O82" s="5" t="str">
        <f>"007579"</f>
        <v>007579</v>
      </c>
      <c r="P82" s="4">
        <v>43427</v>
      </c>
      <c r="Q82" s="7">
        <v>24.993860000000002</v>
      </c>
      <c r="R82" s="7">
        <v>3.04535</v>
      </c>
      <c r="S82" s="7">
        <v>21.948509999999999</v>
      </c>
      <c r="T82" s="5">
        <v>275</v>
      </c>
      <c r="U82" s="4">
        <v>43431</v>
      </c>
      <c r="V82" s="5">
        <v>9900333496</v>
      </c>
      <c r="W82" s="6" t="s">
        <v>74</v>
      </c>
      <c r="X82" s="5" t="s">
        <v>79</v>
      </c>
      <c r="Y82" s="6" t="s">
        <v>80</v>
      </c>
      <c r="Z82" s="5" t="s">
        <v>88</v>
      </c>
      <c r="AA82" s="6" t="s">
        <v>89</v>
      </c>
      <c r="AB82" s="7">
        <f>Q82/100</f>
        <v>0.24993860000000001</v>
      </c>
      <c r="AD82" s="8"/>
      <c r="AF82" s="8"/>
      <c r="AG82" s="8"/>
    </row>
    <row r="83" spans="1:33" x14ac:dyDescent="0.2">
      <c r="A83" s="12">
        <v>7410</v>
      </c>
      <c r="B83" s="13" t="s">
        <v>39</v>
      </c>
      <c r="C83" s="13">
        <v>43431</v>
      </c>
      <c r="D83" s="5">
        <v>67</v>
      </c>
      <c r="E83" s="6" t="s">
        <v>85</v>
      </c>
      <c r="F83" s="5" t="s">
        <v>262</v>
      </c>
      <c r="G83" s="6" t="s">
        <v>263</v>
      </c>
      <c r="H83" s="5" t="str">
        <f>"000029"</f>
        <v>000029</v>
      </c>
      <c r="I83" s="4">
        <v>42870</v>
      </c>
      <c r="J83" s="5" t="str">
        <f>"000060"</f>
        <v>000060</v>
      </c>
      <c r="K83" s="4">
        <v>43096</v>
      </c>
      <c r="L83" s="5" t="str">
        <f>"000144"</f>
        <v>000144</v>
      </c>
      <c r="M83" s="4">
        <v>43096</v>
      </c>
      <c r="N83" s="5">
        <v>17</v>
      </c>
      <c r="O83" s="5" t="str">
        <f>"007580"</f>
        <v>007580</v>
      </c>
      <c r="P83" s="4">
        <v>43427</v>
      </c>
      <c r="Q83" s="7">
        <v>29.914909999999999</v>
      </c>
      <c r="R83" s="7">
        <v>3.7629000000000001</v>
      </c>
      <c r="S83" s="7">
        <v>26.152010000000001</v>
      </c>
      <c r="T83" s="5">
        <v>275</v>
      </c>
      <c r="U83" s="4">
        <v>43431</v>
      </c>
      <c r="V83" s="5">
        <v>9900333496</v>
      </c>
      <c r="W83" s="6" t="s">
        <v>74</v>
      </c>
      <c r="X83" s="5" t="s">
        <v>79</v>
      </c>
      <c r="Y83" s="6" t="s">
        <v>80</v>
      </c>
      <c r="Z83" s="5" t="s">
        <v>88</v>
      </c>
      <c r="AA83" s="6" t="s">
        <v>89</v>
      </c>
      <c r="AB83" s="7">
        <f>Q83/100</f>
        <v>0.2991491</v>
      </c>
      <c r="AD83" s="8"/>
      <c r="AF83" s="8"/>
      <c r="AG83" s="8"/>
    </row>
    <row r="84" spans="1:33" x14ac:dyDescent="0.2">
      <c r="A84" s="12">
        <v>7411</v>
      </c>
      <c r="B84" s="13" t="s">
        <v>39</v>
      </c>
      <c r="C84" s="13">
        <v>43431</v>
      </c>
      <c r="D84" s="5">
        <v>67</v>
      </c>
      <c r="E84" s="6" t="s">
        <v>85</v>
      </c>
      <c r="F84" s="5" t="s">
        <v>264</v>
      </c>
      <c r="G84" s="6" t="s">
        <v>265</v>
      </c>
      <c r="H84" s="5" t="str">
        <f>"000030"</f>
        <v>000030</v>
      </c>
      <c r="I84" s="4">
        <v>42870</v>
      </c>
      <c r="J84" s="5" t="str">
        <f>"000061"</f>
        <v>000061</v>
      </c>
      <c r="K84" s="4">
        <v>43096</v>
      </c>
      <c r="L84" s="5" t="str">
        <f>"000145"</f>
        <v>000145</v>
      </c>
      <c r="M84" s="4">
        <v>43096</v>
      </c>
      <c r="N84" s="5">
        <v>17</v>
      </c>
      <c r="O84" s="5" t="str">
        <f>"007581"</f>
        <v>007581</v>
      </c>
      <c r="P84" s="4">
        <v>43427</v>
      </c>
      <c r="Q84" s="7">
        <v>29.983129999999999</v>
      </c>
      <c r="R84" s="7">
        <v>3.8845999999999998</v>
      </c>
      <c r="S84" s="7">
        <v>26.09853</v>
      </c>
      <c r="T84" s="5">
        <v>275</v>
      </c>
      <c r="U84" s="4">
        <v>43431</v>
      </c>
      <c r="V84" s="5">
        <v>9900333496</v>
      </c>
      <c r="W84" s="6" t="s">
        <v>74</v>
      </c>
      <c r="X84" s="5" t="s">
        <v>79</v>
      </c>
      <c r="Y84" s="6" t="s">
        <v>80</v>
      </c>
      <c r="Z84" s="5" t="s">
        <v>88</v>
      </c>
      <c r="AA84" s="6" t="s">
        <v>89</v>
      </c>
      <c r="AB84" s="7">
        <f>Q84/100</f>
        <v>0.29983129999999997</v>
      </c>
      <c r="AD84" s="8"/>
      <c r="AF84" s="8"/>
      <c r="AG84" s="8"/>
    </row>
    <row r="85" spans="1:33" x14ac:dyDescent="0.2">
      <c r="A85" s="12">
        <v>7412</v>
      </c>
      <c r="B85" s="13" t="s">
        <v>39</v>
      </c>
      <c r="C85" s="13">
        <v>43431</v>
      </c>
      <c r="D85" s="5">
        <v>67</v>
      </c>
      <c r="E85" s="6" t="s">
        <v>85</v>
      </c>
      <c r="F85" s="5" t="s">
        <v>266</v>
      </c>
      <c r="G85" s="6" t="s">
        <v>267</v>
      </c>
      <c r="H85" s="5" t="str">
        <f>"0.0005"</f>
        <v>0.0005</v>
      </c>
      <c r="I85" s="4">
        <v>42527</v>
      </c>
      <c r="J85" s="5" t="str">
        <f>"000067"</f>
        <v>000067</v>
      </c>
      <c r="K85" s="4">
        <v>43312</v>
      </c>
      <c r="L85" s="5" t="str">
        <f>"000067"</f>
        <v>000067</v>
      </c>
      <c r="M85" s="4">
        <v>43312</v>
      </c>
      <c r="N85" s="5">
        <v>16</v>
      </c>
      <c r="O85" s="5" t="str">
        <f>"007592"</f>
        <v>007592</v>
      </c>
      <c r="P85" s="4">
        <v>43431</v>
      </c>
      <c r="Q85" s="7">
        <v>74.44153</v>
      </c>
      <c r="R85" s="7">
        <v>6.0530999999999997</v>
      </c>
      <c r="S85" s="7">
        <v>68.38843</v>
      </c>
      <c r="T85" s="5">
        <v>275</v>
      </c>
      <c r="U85" s="4">
        <v>43431</v>
      </c>
      <c r="V85" s="5">
        <v>9845339329</v>
      </c>
      <c r="W85" s="6" t="s">
        <v>61</v>
      </c>
      <c r="X85" s="5" t="s">
        <v>79</v>
      </c>
      <c r="Y85" s="6" t="s">
        <v>80</v>
      </c>
      <c r="Z85" s="5" t="s">
        <v>75</v>
      </c>
      <c r="AA85" s="6" t="s">
        <v>76</v>
      </c>
      <c r="AB85" s="7">
        <f>Q85/100</f>
        <v>0.7444153</v>
      </c>
      <c r="AD85" s="8"/>
      <c r="AF85" s="8"/>
      <c r="AG85" s="8"/>
    </row>
    <row r="86" spans="1:33" x14ac:dyDescent="0.2">
      <c r="A86" s="12">
        <v>7413</v>
      </c>
      <c r="B86" s="13" t="s">
        <v>39</v>
      </c>
      <c r="C86" s="13">
        <v>43431</v>
      </c>
      <c r="D86" s="5">
        <v>67</v>
      </c>
      <c r="E86" s="6" t="s">
        <v>85</v>
      </c>
      <c r="F86" s="5" t="s">
        <v>268</v>
      </c>
      <c r="G86" s="6" t="s">
        <v>269</v>
      </c>
      <c r="H86" s="5" t="str">
        <f>"000008"</f>
        <v>000008</v>
      </c>
      <c r="I86" s="4">
        <v>42551</v>
      </c>
      <c r="J86" s="5" t="str">
        <f>"000070"</f>
        <v>000070</v>
      </c>
      <c r="K86" s="4">
        <v>43312</v>
      </c>
      <c r="L86" s="5" t="str">
        <f>"000069"</f>
        <v>000069</v>
      </c>
      <c r="M86" s="4">
        <v>43312</v>
      </c>
      <c r="N86" s="5">
        <v>15</v>
      </c>
      <c r="O86" s="5" t="str">
        <f>"007593"</f>
        <v>007593</v>
      </c>
      <c r="P86" s="4">
        <v>43431</v>
      </c>
      <c r="Q86" s="7">
        <v>43.685560000000002</v>
      </c>
      <c r="R86" s="7">
        <v>3.5486</v>
      </c>
      <c r="S86" s="7">
        <v>40.136960000000002</v>
      </c>
      <c r="T86" s="5">
        <v>275</v>
      </c>
      <c r="U86" s="4">
        <v>43431</v>
      </c>
      <c r="V86" s="5">
        <v>9845339329</v>
      </c>
      <c r="W86" s="6" t="s">
        <v>270</v>
      </c>
      <c r="X86" s="5" t="s">
        <v>56</v>
      </c>
      <c r="Y86" s="6" t="s">
        <v>55</v>
      </c>
      <c r="Z86" s="5" t="s">
        <v>75</v>
      </c>
      <c r="AA86" s="6" t="s">
        <v>76</v>
      </c>
      <c r="AB86" s="7">
        <f>Q86/100</f>
        <v>0.43685560000000001</v>
      </c>
      <c r="AD86" s="8"/>
      <c r="AF86" s="8"/>
      <c r="AG86" s="8"/>
    </row>
    <row r="87" spans="1:33" x14ac:dyDescent="0.2">
      <c r="A87" s="12">
        <v>7435</v>
      </c>
      <c r="B87" s="13" t="s">
        <v>39</v>
      </c>
      <c r="C87" s="13">
        <v>43432</v>
      </c>
      <c r="D87" s="5">
        <v>67</v>
      </c>
      <c r="E87" s="6" t="s">
        <v>85</v>
      </c>
      <c r="F87" s="5" t="s">
        <v>271</v>
      </c>
      <c r="G87" s="6" t="s">
        <v>272</v>
      </c>
      <c r="H87" s="5" t="str">
        <f>"000320"</f>
        <v>000320</v>
      </c>
      <c r="I87" s="4">
        <v>42627</v>
      </c>
      <c r="J87" s="5" t="str">
        <f>"000140"</f>
        <v>000140</v>
      </c>
      <c r="K87" s="4">
        <v>43400</v>
      </c>
      <c r="L87" s="5" t="str">
        <f>"000340"</f>
        <v>000340</v>
      </c>
      <c r="M87" s="4">
        <v>43400</v>
      </c>
      <c r="N87" s="5">
        <v>17</v>
      </c>
      <c r="O87" s="5" t="str">
        <f>"007598"</f>
        <v>007598</v>
      </c>
      <c r="P87" s="4">
        <v>43431</v>
      </c>
      <c r="Q87" s="7">
        <v>24.752469999999999</v>
      </c>
      <c r="R87" s="7">
        <v>3.23597</v>
      </c>
      <c r="S87" s="7">
        <v>21.516500000000001</v>
      </c>
      <c r="T87" s="5">
        <v>277</v>
      </c>
      <c r="U87" s="4">
        <v>43432</v>
      </c>
      <c r="V87" s="5">
        <v>9900333496</v>
      </c>
      <c r="W87" s="6" t="s">
        <v>74</v>
      </c>
      <c r="X87" s="5" t="s">
        <v>48</v>
      </c>
      <c r="Y87" s="6" t="s">
        <v>47</v>
      </c>
      <c r="Z87" s="5" t="s">
        <v>88</v>
      </c>
      <c r="AA87" s="6" t="s">
        <v>89</v>
      </c>
      <c r="AB87" s="7">
        <f>Q87/100</f>
        <v>0.24752469999999999</v>
      </c>
      <c r="AD87" s="8"/>
      <c r="AF87" s="8"/>
      <c r="AG87" s="8"/>
    </row>
    <row r="88" spans="1:33" x14ac:dyDescent="0.2">
      <c r="A88" s="12">
        <v>7658</v>
      </c>
      <c r="B88" s="13" t="s">
        <v>40</v>
      </c>
      <c r="C88" s="13">
        <v>43441</v>
      </c>
      <c r="D88" s="5">
        <v>67</v>
      </c>
      <c r="E88" s="6" t="s">
        <v>85</v>
      </c>
      <c r="F88" s="5" t="s">
        <v>273</v>
      </c>
      <c r="G88" s="6" t="s">
        <v>274</v>
      </c>
      <c r="H88" s="5" t="str">
        <f>"000103"</f>
        <v>000103</v>
      </c>
      <c r="I88" s="4">
        <v>43343</v>
      </c>
      <c r="J88" s="5" t="str">
        <f>"000136"</f>
        <v>000136</v>
      </c>
      <c r="K88" s="4">
        <v>43389</v>
      </c>
      <c r="L88" s="5" t="str">
        <f>"000330"</f>
        <v>000330</v>
      </c>
      <c r="M88" s="4">
        <v>43396</v>
      </c>
      <c r="N88" s="5">
        <v>18</v>
      </c>
      <c r="O88" s="5" t="str">
        <f>"007677"</f>
        <v>007677</v>
      </c>
      <c r="P88" s="4">
        <v>43438</v>
      </c>
      <c r="Q88" s="7">
        <v>14.98893</v>
      </c>
      <c r="R88" s="7">
        <v>1.6316600000000001</v>
      </c>
      <c r="S88" s="7">
        <v>13.35727</v>
      </c>
      <c r="T88" s="5">
        <v>287</v>
      </c>
      <c r="U88" s="4">
        <v>43441</v>
      </c>
      <c r="V88" s="5">
        <v>9900333496</v>
      </c>
      <c r="W88" s="6" t="s">
        <v>74</v>
      </c>
      <c r="X88" s="5" t="s">
        <v>67</v>
      </c>
      <c r="Y88" s="6" t="s">
        <v>66</v>
      </c>
      <c r="Z88" s="5" t="s">
        <v>88</v>
      </c>
      <c r="AA88" s="6" t="s">
        <v>89</v>
      </c>
      <c r="AB88" s="7">
        <f>Q88/100</f>
        <v>0.1498893</v>
      </c>
      <c r="AD88" s="8"/>
      <c r="AF88" s="8"/>
      <c r="AG88" s="8"/>
    </row>
    <row r="89" spans="1:33" x14ac:dyDescent="0.2">
      <c r="A89" s="12">
        <v>7659</v>
      </c>
      <c r="B89" s="13" t="s">
        <v>40</v>
      </c>
      <c r="C89" s="13">
        <v>43441</v>
      </c>
      <c r="D89" s="5">
        <v>67</v>
      </c>
      <c r="E89" s="6" t="s">
        <v>85</v>
      </c>
      <c r="F89" s="5" t="s">
        <v>275</v>
      </c>
      <c r="G89" s="6" t="s">
        <v>276</v>
      </c>
      <c r="H89" s="5" t="str">
        <f>"000101"</f>
        <v>000101</v>
      </c>
      <c r="I89" s="4">
        <v>43339</v>
      </c>
      <c r="J89" s="5" t="str">
        <f>"000135"</f>
        <v>000135</v>
      </c>
      <c r="K89" s="4">
        <v>43389</v>
      </c>
      <c r="L89" s="5" t="str">
        <f>"000326"</f>
        <v>000326</v>
      </c>
      <c r="M89" s="4">
        <v>43396</v>
      </c>
      <c r="N89" s="5">
        <v>18</v>
      </c>
      <c r="O89" s="5" t="str">
        <f>"007684"</f>
        <v>007684</v>
      </c>
      <c r="P89" s="4">
        <v>43438</v>
      </c>
      <c r="Q89" s="7">
        <v>14.30377</v>
      </c>
      <c r="R89" s="7">
        <v>1.6414599999999999</v>
      </c>
      <c r="S89" s="7">
        <v>12.66231</v>
      </c>
      <c r="T89" s="5">
        <v>287</v>
      </c>
      <c r="U89" s="4">
        <v>43441</v>
      </c>
      <c r="V89" s="5">
        <v>9900333496</v>
      </c>
      <c r="W89" s="6" t="s">
        <v>74</v>
      </c>
      <c r="X89" s="5" t="s">
        <v>63</v>
      </c>
      <c r="Y89" s="6" t="s">
        <v>62</v>
      </c>
      <c r="Z89" s="5" t="s">
        <v>88</v>
      </c>
      <c r="AA89" s="6" t="s">
        <v>89</v>
      </c>
      <c r="AB89" s="7">
        <f>Q89/100</f>
        <v>0.14303769999999999</v>
      </c>
      <c r="AD89" s="8"/>
      <c r="AF89" s="8"/>
      <c r="AG89" s="8"/>
    </row>
    <row r="90" spans="1:33" x14ac:dyDescent="0.2">
      <c r="A90" s="12">
        <v>7729</v>
      </c>
      <c r="B90" s="13" t="s">
        <v>40</v>
      </c>
      <c r="C90" s="13">
        <v>43448</v>
      </c>
      <c r="D90" s="5">
        <v>67</v>
      </c>
      <c r="E90" s="6" t="s">
        <v>85</v>
      </c>
      <c r="F90" s="5" t="s">
        <v>277</v>
      </c>
      <c r="G90" s="6" t="s">
        <v>278</v>
      </c>
      <c r="H90" s="5" t="str">
        <f>"000049"</f>
        <v>000049</v>
      </c>
      <c r="I90" s="4">
        <v>42934</v>
      </c>
      <c r="J90" s="5" t="str">
        <f>"000054"</f>
        <v>000054</v>
      </c>
      <c r="K90" s="4">
        <v>43041</v>
      </c>
      <c r="L90" s="5" t="str">
        <f>"000104"</f>
        <v>000104</v>
      </c>
      <c r="M90" s="4">
        <v>43041</v>
      </c>
      <c r="N90" s="5">
        <v>15</v>
      </c>
      <c r="O90" s="5" t="str">
        <f>"007906"</f>
        <v>007906</v>
      </c>
      <c r="P90" s="4">
        <v>43445</v>
      </c>
      <c r="Q90" s="7">
        <v>8.6545000000000005</v>
      </c>
      <c r="R90" s="7">
        <v>0.40229999999999999</v>
      </c>
      <c r="S90" s="7">
        <v>8.2522000000000002</v>
      </c>
      <c r="T90" s="5">
        <v>292</v>
      </c>
      <c r="U90" s="4">
        <v>43448</v>
      </c>
      <c r="V90" s="5">
        <v>9980558555</v>
      </c>
      <c r="W90" s="6" t="s">
        <v>279</v>
      </c>
      <c r="X90" s="5" t="s">
        <v>29</v>
      </c>
      <c r="Y90" s="6" t="s">
        <v>30</v>
      </c>
      <c r="Z90" s="5" t="s">
        <v>88</v>
      </c>
      <c r="AA90" s="6" t="s">
        <v>89</v>
      </c>
      <c r="AB90" s="7">
        <f>Q90/100</f>
        <v>8.6545000000000011E-2</v>
      </c>
      <c r="AD90" s="8"/>
      <c r="AF90" s="8"/>
      <c r="AG90" s="8"/>
    </row>
    <row r="91" spans="1:33" x14ac:dyDescent="0.2">
      <c r="A91" s="12">
        <v>8003</v>
      </c>
      <c r="B91" s="13" t="s">
        <v>40</v>
      </c>
      <c r="C91" s="13">
        <v>43455</v>
      </c>
      <c r="D91" s="5">
        <v>67</v>
      </c>
      <c r="E91" s="6" t="s">
        <v>85</v>
      </c>
      <c r="F91" s="5" t="s">
        <v>280</v>
      </c>
      <c r="G91" s="6" t="s">
        <v>281</v>
      </c>
      <c r="H91" s="5" t="str">
        <f>"000506"</f>
        <v>000506</v>
      </c>
      <c r="I91" s="4">
        <v>42808</v>
      </c>
      <c r="J91" s="5" t="str">
        <f>"000072"</f>
        <v>000072</v>
      </c>
      <c r="K91" s="4">
        <v>42886</v>
      </c>
      <c r="L91" s="5" t="str">
        <f>"000199"</f>
        <v>000199</v>
      </c>
      <c r="M91" s="4">
        <v>42886</v>
      </c>
      <c r="N91" s="5">
        <v>17</v>
      </c>
      <c r="O91" s="5" t="str">
        <f>"007788"</f>
        <v>007788</v>
      </c>
      <c r="P91" s="4">
        <v>43444</v>
      </c>
      <c r="Q91" s="7">
        <v>19.812860000000001</v>
      </c>
      <c r="R91" s="7">
        <v>2.7480500000000001</v>
      </c>
      <c r="S91" s="7">
        <v>17.064810000000001</v>
      </c>
      <c r="T91" s="5">
        <v>301</v>
      </c>
      <c r="U91" s="4">
        <v>43455</v>
      </c>
      <c r="V91" s="5">
        <v>9900333496</v>
      </c>
      <c r="W91" s="6" t="s">
        <v>77</v>
      </c>
      <c r="X91" s="5" t="s">
        <v>58</v>
      </c>
      <c r="Y91" s="6" t="s">
        <v>57</v>
      </c>
      <c r="Z91" s="5" t="s">
        <v>88</v>
      </c>
      <c r="AA91" s="6" t="s">
        <v>89</v>
      </c>
      <c r="AB91" s="7">
        <f>Q91/100</f>
        <v>0.19812860000000002</v>
      </c>
      <c r="AD91" s="8"/>
      <c r="AF91" s="8"/>
      <c r="AG9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2019-01-14T13:59:40Z</dcterms:modified>
</cp:coreProperties>
</file>