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esktop\2018-19 H1\1st April 2018 to 30th Sep 2018 BR Jobcode Tender WBB For ICMYC\BR 198\"/>
    </mc:Choice>
  </mc:AlternateContent>
  <bookViews>
    <workbookView xWindow="0" yWindow="0" windowWidth="1536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35" i="1" l="1"/>
  <c r="O35" i="1"/>
  <c r="L35" i="1"/>
  <c r="J35" i="1"/>
  <c r="H35" i="1"/>
  <c r="AB34" i="1"/>
  <c r="O34" i="1"/>
  <c r="L34" i="1"/>
  <c r="J34" i="1"/>
  <c r="H34" i="1"/>
  <c r="AB33" i="1"/>
  <c r="O33" i="1"/>
  <c r="L33" i="1"/>
  <c r="J33" i="1"/>
  <c r="H33" i="1"/>
  <c r="AB32" i="1"/>
  <c r="O32" i="1"/>
  <c r="L32" i="1"/>
  <c r="J32" i="1"/>
  <c r="H32" i="1"/>
  <c r="AB31" i="1"/>
  <c r="O31" i="1"/>
  <c r="L31" i="1"/>
  <c r="J31" i="1"/>
  <c r="H31" i="1"/>
  <c r="AB30" i="1"/>
  <c r="O30" i="1"/>
  <c r="L30" i="1"/>
  <c r="J30" i="1"/>
  <c r="H30" i="1"/>
  <c r="AB29" i="1"/>
  <c r="O29" i="1"/>
  <c r="L29" i="1"/>
  <c r="J29" i="1"/>
  <c r="H29" i="1"/>
  <c r="AB28" i="1"/>
  <c r="O28" i="1"/>
  <c r="L28" i="1"/>
  <c r="J28" i="1"/>
  <c r="H28" i="1"/>
  <c r="AB27" i="1"/>
  <c r="O27" i="1"/>
  <c r="L27" i="1"/>
  <c r="J27" i="1"/>
  <c r="H27" i="1"/>
  <c r="AB26" i="1"/>
  <c r="O26" i="1"/>
  <c r="L26" i="1"/>
  <c r="J26" i="1"/>
  <c r="H26" i="1"/>
  <c r="AB25" i="1"/>
  <c r="O25" i="1"/>
  <c r="L25" i="1"/>
  <c r="J25" i="1"/>
  <c r="H25" i="1"/>
  <c r="AB24" i="1"/>
  <c r="O24" i="1"/>
  <c r="L24" i="1"/>
  <c r="J24" i="1"/>
  <c r="H24" i="1"/>
  <c r="AB23" i="1"/>
  <c r="O23" i="1"/>
  <c r="L23" i="1"/>
  <c r="J23" i="1"/>
  <c r="H23" i="1"/>
  <c r="O22" i="1"/>
  <c r="L22" i="1"/>
  <c r="J22" i="1"/>
  <c r="H22" i="1"/>
  <c r="O21" i="1"/>
  <c r="L21" i="1"/>
  <c r="J21" i="1"/>
  <c r="H21" i="1"/>
  <c r="O20" i="1"/>
  <c r="L20" i="1"/>
  <c r="J20" i="1"/>
  <c r="H20" i="1"/>
  <c r="O19" i="1"/>
  <c r="L19" i="1"/>
  <c r="J19" i="1"/>
  <c r="H19" i="1"/>
  <c r="O18" i="1"/>
  <c r="L18" i="1"/>
  <c r="J18" i="1"/>
  <c r="H18" i="1"/>
  <c r="O17" i="1"/>
  <c r="L17" i="1"/>
  <c r="J17" i="1"/>
  <c r="H17" i="1"/>
  <c r="O16" i="1"/>
  <c r="L16" i="1"/>
  <c r="J16" i="1"/>
  <c r="H16" i="1"/>
  <c r="O15" i="1"/>
  <c r="L15" i="1"/>
  <c r="J15" i="1"/>
  <c r="H15" i="1"/>
  <c r="O14" i="1"/>
  <c r="L14" i="1"/>
  <c r="J14" i="1"/>
  <c r="H14" i="1"/>
  <c r="O13" i="1"/>
  <c r="L13" i="1"/>
  <c r="J13" i="1"/>
  <c r="H13" i="1"/>
  <c r="O12" i="1"/>
  <c r="L12" i="1"/>
  <c r="J12" i="1"/>
  <c r="H12" i="1"/>
  <c r="O11" i="1"/>
  <c r="L11" i="1"/>
  <c r="J11" i="1"/>
  <c r="H11" i="1"/>
  <c r="O10" i="1"/>
  <c r="L10" i="1"/>
  <c r="J10" i="1"/>
  <c r="H10" i="1"/>
  <c r="O9" i="1"/>
  <c r="L9" i="1"/>
  <c r="J9" i="1"/>
  <c r="H9" i="1"/>
  <c r="O8" i="1"/>
  <c r="L8" i="1"/>
  <c r="J8" i="1"/>
  <c r="H8" i="1"/>
  <c r="O7" i="1"/>
  <c r="L7" i="1"/>
  <c r="J7" i="1"/>
  <c r="H7" i="1"/>
  <c r="O6" i="1"/>
  <c r="L6" i="1"/>
  <c r="J6" i="1"/>
  <c r="H6" i="1"/>
  <c r="O5" i="1"/>
  <c r="L5" i="1"/>
  <c r="J5" i="1"/>
  <c r="H5" i="1"/>
  <c r="O4" i="1"/>
  <c r="L4" i="1"/>
  <c r="J4" i="1"/>
  <c r="H4" i="1"/>
  <c r="O3" i="1"/>
  <c r="L3" i="1"/>
  <c r="J3" i="1"/>
  <c r="H3" i="1"/>
  <c r="O2" i="1"/>
  <c r="L2" i="1"/>
  <c r="J2" i="1"/>
  <c r="H2" i="1"/>
</calcChain>
</file>

<file path=xl/sharedStrings.xml><?xml version="1.0" encoding="utf-8"?>
<sst xmlns="http://schemas.openxmlformats.org/spreadsheetml/2006/main" count="334" uniqueCount="154">
  <si>
    <t>SL No</t>
  </si>
  <si>
    <t>Month</t>
  </si>
  <si>
    <t>Date</t>
  </si>
  <si>
    <t>Ward_No</t>
  </si>
  <si>
    <t>Ward_Name</t>
  </si>
  <si>
    <t>Job_Code</t>
  </si>
  <si>
    <t>Job_Description</t>
  </si>
  <si>
    <t>Work_ Order</t>
  </si>
  <si>
    <t>Work_Order_Date</t>
  </si>
  <si>
    <t>Sub Bill Register_No</t>
  </si>
  <si>
    <t>Sub Bill Register_Date</t>
  </si>
  <si>
    <t>Bill Register No</t>
  </si>
  <si>
    <t>Bill Register Date</t>
  </si>
  <si>
    <t>Job Code Year</t>
  </si>
  <si>
    <t>CBR_No</t>
  </si>
  <si>
    <t>CBR_Date</t>
  </si>
  <si>
    <t>Gross_ Amount In Lakhs</t>
  </si>
  <si>
    <t>Deduction In Lakhs</t>
  </si>
  <si>
    <t>Nett_ Amount In Lakhs</t>
  </si>
  <si>
    <t>RTGS_No</t>
  </si>
  <si>
    <t>RTGS_Date</t>
  </si>
  <si>
    <t>Contractor Number</t>
  </si>
  <si>
    <t>Contractor_Name</t>
  </si>
  <si>
    <t>P_Code</t>
  </si>
  <si>
    <t>Budget_Head</t>
  </si>
  <si>
    <t>Budget_ Head_ID</t>
  </si>
  <si>
    <t>Engineer Details</t>
  </si>
  <si>
    <t>Gross_ Amount In Cr</t>
  </si>
  <si>
    <t>P3158</t>
  </si>
  <si>
    <t>SIP Infrastructure Project works</t>
  </si>
  <si>
    <t>August</t>
  </si>
  <si>
    <t>P1771</t>
  </si>
  <si>
    <t>Zone Works - POW Works</t>
  </si>
  <si>
    <t>July</t>
  </si>
  <si>
    <t>P0300</t>
  </si>
  <si>
    <t>M and R to Street Lights - Replacement of Burnt Bulbs etc. (Package)</t>
  </si>
  <si>
    <t>June</t>
  </si>
  <si>
    <t>May</t>
  </si>
  <si>
    <t>September</t>
  </si>
  <si>
    <t>P3110</t>
  </si>
  <si>
    <t>14th Finance Commission Grant Works</t>
  </si>
  <si>
    <t>Nagarothana Works</t>
  </si>
  <si>
    <t>P3106</t>
  </si>
  <si>
    <t>October</t>
  </si>
  <si>
    <t>Special Development works in 7 CMC and 1 TMC area in BBMP</t>
  </si>
  <si>
    <t>P3089</t>
  </si>
  <si>
    <t>State Finance Commission Untied Grant Works</t>
  </si>
  <si>
    <t>P3111</t>
  </si>
  <si>
    <t>April</t>
  </si>
  <si>
    <t xml:space="preserve"> Assistant Executive Engineer Electrical Dasarahalli Zone</t>
  </si>
  <si>
    <t>ddo466</t>
  </si>
  <si>
    <t>Water Supply New Areas</t>
  </si>
  <si>
    <t>P1802</t>
  </si>
  <si>
    <t>KRIDL</t>
  </si>
  <si>
    <t>G N RAMESH</t>
  </si>
  <si>
    <t>Works sanctioned by Hon Mayor</t>
  </si>
  <si>
    <t>P0190</t>
  </si>
  <si>
    <t>Reserve fund for TandF Committee</t>
  </si>
  <si>
    <t>P2415</t>
  </si>
  <si>
    <t xml:space="preserve"> Chief Engineer SWD Central Zone</t>
  </si>
  <si>
    <t>ddo313</t>
  </si>
  <si>
    <t>14th Finance Commission Works - Road and Footpath Maintenance</t>
  </si>
  <si>
    <t>P3296</t>
  </si>
  <si>
    <t>14th Finance Commission Works - Providing Street Lights and Maintenance</t>
  </si>
  <si>
    <t>P3290</t>
  </si>
  <si>
    <t>Jagaish K</t>
  </si>
  <si>
    <t>ddo663</t>
  </si>
  <si>
    <t xml:space="preserve"> Executive Engineer Road Infrastructure Dasarahalli Division Central Zone</t>
  </si>
  <si>
    <t>M/s Technical Manager-West</t>
  </si>
  <si>
    <t>kridl</t>
  </si>
  <si>
    <t>Rajagopal Nagara</t>
  </si>
  <si>
    <t>070-17-000034</t>
  </si>
  <si>
    <t>Improvements and asphalting to 2nd and 3rd cross roads at Srigandha nagara opp to KTG college main roads in ward no. 70</t>
  </si>
  <si>
    <t xml:space="preserve"> Madava Reddy K</t>
  </si>
  <si>
    <t>ddo022</t>
  </si>
  <si>
    <t xml:space="preserve"> Assistant Executive Engineer HeganaHalli SubDiv Dasarahalli Zone</t>
  </si>
  <si>
    <t>070-15-000060</t>
  </si>
  <si>
    <t xml:space="preserve"> Re-Asphalting to cross road in Annapoorneswarinagara nd Kapilanagara in ward no 70 </t>
  </si>
  <si>
    <t>070-16-000004</t>
  </si>
  <si>
    <t>Drilling of new Borewells with pipeline network at various locations of Rajagopalanagara ward no. 70</t>
  </si>
  <si>
    <t>GNANENDRA MURTHY</t>
  </si>
  <si>
    <t>070-18-000033</t>
  </si>
  <si>
    <t xml:space="preserve">Improvements to roads and drains near Sri Rama Temple surrounding area road in ward No.70, Rajagopalanagara. </t>
  </si>
  <si>
    <t>070-18-000036</t>
  </si>
  <si>
    <t xml:space="preserve">Improvements to roads and drains near Maruthi Theatre Back side road at Rajagopalanagar in ward No.70, Rajagopalanagara. </t>
  </si>
  <si>
    <t>L.Raghunandan</t>
  </si>
  <si>
    <t>070-18-000116</t>
  </si>
  <si>
    <t>Providing Street Lights and Maintenance ward no 70 Rajagopalanagara</t>
  </si>
  <si>
    <t>M/s THE TECHNICAL MANGAGER-2(BBMP) KRIDL</t>
  </si>
  <si>
    <t>070-17-000042</t>
  </si>
  <si>
    <t>Engagement of Gangman and Hiring of Troctor Tippers for cleaning and maintenance of road side drains and other civil works in ward 70</t>
  </si>
  <si>
    <t xml:space="preserve">Manoj Naik B M </t>
  </si>
  <si>
    <t>070-16-000007</t>
  </si>
  <si>
    <t>Improvement to cross roads Kempegowda layout in Rajagopalanagara ward no. 70</t>
  </si>
  <si>
    <t>JC RAMACHANDRA</t>
  </si>
  <si>
    <t>070-15-000016</t>
  </si>
  <si>
    <t xml:space="preserve">Removing and Re- setting of drains in Doddanna Industrial Area in Ward No.70 </t>
  </si>
  <si>
    <t>070-15-000042</t>
  </si>
  <si>
    <t>Improvements to main road and cross roads in Kempegowda Layout in ward no. 70</t>
  </si>
  <si>
    <t>Honnappa Murthy</t>
  </si>
  <si>
    <t>070-15-000043</t>
  </si>
  <si>
    <t>Reasphalting to 4th and 5th cross in GKW layot in ward no. 70</t>
  </si>
  <si>
    <t>HONNAPPA MURTHY</t>
  </si>
  <si>
    <t>070-15-000040</t>
  </si>
  <si>
    <t>Improvements and reasphalting to Doddanna Estate main road in ward no. 70</t>
  </si>
  <si>
    <t>070-14-000006</t>
  </si>
  <si>
    <t>Improvement to drain and reasphalting to cross roads near Markandaiah temple in ward no. 70</t>
  </si>
  <si>
    <t>070-15-000031</t>
  </si>
  <si>
    <t>Construcion of drain in cross roads on right side of Ramaiah layout main road in ward no. 70</t>
  </si>
  <si>
    <t>070-15-000033</t>
  </si>
  <si>
    <t>Construction of Deck slab culverts and drain in 5th and 6th cross and near flog post in Kasturinagara in ward no. 70</t>
  </si>
  <si>
    <t>070-18-000042</t>
  </si>
  <si>
    <t>Construction of retaining wall in Kapilanagara near Veerabramma swamy temple in ward No.70</t>
  </si>
  <si>
    <t>M/s B.N.S.Constructions</t>
  </si>
  <si>
    <t>070-18-000041</t>
  </si>
  <si>
    <t>Construction of RCC box culvert and U Shape drain for secondary SWD from Basappana katte down stream in Shambavinagar in Ward no.70</t>
  </si>
  <si>
    <t>070-16-000001</t>
  </si>
  <si>
    <t>Operation and Maintenance of stree light at Rajgopalanagara Ward No. 70 Package D-8</t>
  </si>
  <si>
    <t>M/s Sri Lakshminarasimha Electricals</t>
  </si>
  <si>
    <t>070-18-000035</t>
  </si>
  <si>
    <t xml:space="preserve">Improvements to roads and drains to 5th and 6th cross near Ganesh Temple at Rajagopalanagar in ward No.70, Rajagopalanagara. </t>
  </si>
  <si>
    <t>070-17-000019</t>
  </si>
  <si>
    <t>Providing Street Light at Rajagopalanagara in ward no 70 Hegganahalli Sub division</t>
  </si>
  <si>
    <t>M/s Sri Lakshmi Narasimha electricals</t>
  </si>
  <si>
    <t>070-16-000041</t>
  </si>
  <si>
    <t>Construction of drain near Siddalingappa Circle right side surrounding area at Bhyraveshwara nagara in ward no 70</t>
  </si>
  <si>
    <t>070-16-000045</t>
  </si>
  <si>
    <t>Construction of drains and culverts to  main road near Bilpatre tree area at Bhyraveshwara nagara in ward no 70</t>
  </si>
  <si>
    <t>070-18-000003</t>
  </si>
  <si>
    <t>Providing and Fixing of Street Name Boards in ward no 70.</t>
  </si>
  <si>
    <t>070-17-000048</t>
  </si>
  <si>
    <t>Providing CC Camera at Garbage Block Spots in ward no 70</t>
  </si>
  <si>
    <t>070-15-000028</t>
  </si>
  <si>
    <t>Construction of culverts and drain near Shimsha Polymer factory in 15th cross of Srigandha nagra W. No.70.(Emergency work )</t>
  </si>
  <si>
    <t>RAMACHANDRAIAH</t>
  </si>
  <si>
    <t>070-16-000012</t>
  </si>
  <si>
    <t>Reconstruction and Repairs to Culverts in ward no. 70 Rajagopalanagara.</t>
  </si>
  <si>
    <t>NAGARAJA</t>
  </si>
  <si>
    <t>070-17-000028</t>
  </si>
  <si>
    <t>Annual Maintenance and repairs to Water Supply In Ward No 70 Rajagopala Nagara</t>
  </si>
  <si>
    <t>304-18-000036</t>
  </si>
  <si>
    <t>Improvements to roads and drains at Raghavendra School surrounding area at Basappanakatte in ward No-70.</t>
  </si>
  <si>
    <t xml:space="preserve">M/s. Technical Manager </t>
  </si>
  <si>
    <t>304-18-000035</t>
  </si>
  <si>
    <t>Consultancy Services for Preparation of  Detailed Project Report for the work of Improvement of 8 no of roads and drains in ward no- 70, of  Dasarahalli Zone.</t>
  </si>
  <si>
    <t>304-18-000047</t>
  </si>
  <si>
    <t>Improvements to roads and drains at BBMP office Oppl. Surrounding area at Srigandhanagara in ward No-70, Rajgopalanagar</t>
  </si>
  <si>
    <t>304-18-000038</t>
  </si>
  <si>
    <t>Improvements to roads and drains at Bodubunde Anjaneya Temple surrounding area  in ward No-70.</t>
  </si>
  <si>
    <t>304-18-000043</t>
  </si>
  <si>
    <t>Consultancy Services for Preparation of Detailed Project Report for the work of Improvement of 7 no of roads and drains in ward no-70 of Dasarahalli zone.</t>
  </si>
  <si>
    <t>070-17-000014</t>
  </si>
  <si>
    <t>Desilting of drains and removal of debris in ward no 70 Rajgopala nagara heganahalli  Sub division</t>
  </si>
  <si>
    <t>GNANENDRA MURTHY MD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</si>
</sst>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5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2" fontId="2" fillId="0" borderId="1" xfId="0" applyNumberFormat="1" applyFont="1" applyBorder="1" applyAlignment="1">
      <alignment horizontal="right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1" fontId="2" fillId="0" borderId="1" xfId="0" applyNumberFormat="1" applyFont="1" applyBorder="1" applyAlignment="1">
      <alignment horizontal="left" vertical="center"/>
    </xf>
    <xf numFmtId="15" fontId="2" fillId="0" borderId="1" xfId="0" applyNumberFormat="1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5"/>
  <sheetViews>
    <sheetView tabSelected="1" workbookViewId="0">
      <selection activeCell="A2" sqref="A2:XFD35"/>
    </sheetView>
  </sheetViews>
  <sheetFormatPr defaultRowHeight="12.75" x14ac:dyDescent="0.2"/>
  <cols>
    <col min="1" max="1" width="5.42578125" style="9" bestFit="1" customWidth="1"/>
    <col min="2" max="2" width="9.140625" style="9"/>
    <col min="3" max="3" width="9.5703125" style="9" bestFit="1" customWidth="1"/>
    <col min="4" max="4" width="9.140625" style="9"/>
    <col min="5" max="8" width="9.140625" style="10"/>
    <col min="9" max="9" width="9.140625" style="9"/>
    <col min="10" max="10" width="9.140625" style="8"/>
    <col min="11" max="20" width="9.140625" style="9"/>
    <col min="21" max="23" width="9.140625" style="11"/>
    <col min="24" max="26" width="9.140625" style="9"/>
    <col min="27" max="27" width="9.140625" style="8"/>
    <col min="28" max="28" width="9.140625" style="9"/>
    <col min="29" max="29" width="9.140625" style="8"/>
    <col min="30" max="30" width="9.140625" style="9"/>
    <col min="31" max="31" width="9.140625" style="8"/>
    <col min="32" max="33" width="9.140625" style="9"/>
    <col min="34" max="16384" width="9.140625" style="8"/>
  </cols>
  <sheetData>
    <row r="1" spans="1:33" s="3" customFormat="1" ht="26.2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1" t="s">
        <v>14</v>
      </c>
      <c r="P1" s="1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1" t="s">
        <v>20</v>
      </c>
      <c r="V1" s="2" t="s">
        <v>21</v>
      </c>
      <c r="W1" s="1" t="s">
        <v>22</v>
      </c>
      <c r="X1" s="1" t="s">
        <v>23</v>
      </c>
      <c r="Y1" s="1" t="s">
        <v>24</v>
      </c>
      <c r="Z1" s="2" t="s">
        <v>25</v>
      </c>
      <c r="AA1" s="1" t="s">
        <v>26</v>
      </c>
      <c r="AB1" s="2" t="s">
        <v>27</v>
      </c>
    </row>
    <row r="2" spans="1:33" x14ac:dyDescent="0.2">
      <c r="A2" s="12">
        <v>252</v>
      </c>
      <c r="B2" s="13" t="s">
        <v>48</v>
      </c>
      <c r="C2" s="13">
        <v>43196</v>
      </c>
      <c r="D2" s="5">
        <v>70</v>
      </c>
      <c r="E2" s="6" t="s">
        <v>70</v>
      </c>
      <c r="F2" s="5" t="s">
        <v>71</v>
      </c>
      <c r="G2" s="6" t="s">
        <v>72</v>
      </c>
      <c r="H2" s="5" t="str">
        <f>"000176"</f>
        <v>000176</v>
      </c>
      <c r="I2" s="4">
        <v>43104</v>
      </c>
      <c r="J2" s="5" t="str">
        <f>"000017"</f>
        <v>000017</v>
      </c>
      <c r="K2" s="4">
        <v>43143</v>
      </c>
      <c r="L2" s="5" t="str">
        <f>"000101"</f>
        <v>000101</v>
      </c>
      <c r="M2" s="4">
        <v>43152</v>
      </c>
      <c r="N2" s="5">
        <v>17</v>
      </c>
      <c r="O2" s="5" t="str">
        <f>"000320"</f>
        <v>000320</v>
      </c>
      <c r="P2" s="4">
        <v>43196</v>
      </c>
      <c r="Q2" s="7">
        <v>38.727679999999999</v>
      </c>
      <c r="R2" s="7">
        <v>1.29739</v>
      </c>
      <c r="S2" s="7">
        <v>37.430289999999999</v>
      </c>
      <c r="T2" s="5">
        <v>7</v>
      </c>
      <c r="U2" s="4">
        <v>43196</v>
      </c>
      <c r="V2" s="5">
        <v>8553628676</v>
      </c>
      <c r="W2" s="6" t="s">
        <v>73</v>
      </c>
      <c r="X2" s="5" t="s">
        <v>45</v>
      </c>
      <c r="Y2" s="6" t="s">
        <v>44</v>
      </c>
      <c r="Z2" s="5" t="s">
        <v>74</v>
      </c>
      <c r="AA2" s="6" t="s">
        <v>75</v>
      </c>
      <c r="AB2" s="7">
        <v>0.38727679999999998</v>
      </c>
      <c r="AD2" s="8"/>
      <c r="AF2" s="8"/>
      <c r="AG2" s="8"/>
    </row>
    <row r="3" spans="1:33" x14ac:dyDescent="0.2">
      <c r="A3" s="12">
        <v>380</v>
      </c>
      <c r="B3" s="13" t="s">
        <v>48</v>
      </c>
      <c r="C3" s="13">
        <v>43200</v>
      </c>
      <c r="D3" s="5">
        <v>70</v>
      </c>
      <c r="E3" s="6" t="s">
        <v>70</v>
      </c>
      <c r="F3" s="5" t="s">
        <v>76</v>
      </c>
      <c r="G3" s="6" t="s">
        <v>77</v>
      </c>
      <c r="H3" s="5" t="str">
        <f>"000268"</f>
        <v>000268</v>
      </c>
      <c r="I3" s="4">
        <v>42063</v>
      </c>
      <c r="J3" s="5" t="str">
        <f>"000357"</f>
        <v>000357</v>
      </c>
      <c r="K3" s="4">
        <v>42308</v>
      </c>
      <c r="L3" s="5" t="str">
        <f>"000127"</f>
        <v>000127</v>
      </c>
      <c r="M3" s="4">
        <v>42525</v>
      </c>
      <c r="N3" s="5">
        <v>15</v>
      </c>
      <c r="O3" s="5" t="str">
        <f>"011004"</f>
        <v>011004</v>
      </c>
      <c r="P3" s="4">
        <v>43187</v>
      </c>
      <c r="Q3" s="7">
        <v>19.739899999999999</v>
      </c>
      <c r="R3" s="7">
        <v>2.5891799999999998</v>
      </c>
      <c r="S3" s="7">
        <v>17.15072</v>
      </c>
      <c r="T3" s="5">
        <v>9</v>
      </c>
      <c r="U3" s="4">
        <v>43200</v>
      </c>
      <c r="V3" s="5">
        <v>9886219099</v>
      </c>
      <c r="W3" s="6" t="s">
        <v>69</v>
      </c>
      <c r="X3" s="5" t="s">
        <v>31</v>
      </c>
      <c r="Y3" s="6" t="s">
        <v>32</v>
      </c>
      <c r="Z3" s="5" t="s">
        <v>74</v>
      </c>
      <c r="AA3" s="6" t="s">
        <v>75</v>
      </c>
      <c r="AB3" s="7">
        <v>0.19739899999999999</v>
      </c>
      <c r="AD3" s="8"/>
      <c r="AF3" s="8"/>
      <c r="AG3" s="8"/>
    </row>
    <row r="4" spans="1:33" x14ac:dyDescent="0.2">
      <c r="A4" s="12">
        <v>1118</v>
      </c>
      <c r="B4" s="13" t="s">
        <v>37</v>
      </c>
      <c r="C4" s="13">
        <v>43230</v>
      </c>
      <c r="D4" s="5">
        <v>70</v>
      </c>
      <c r="E4" s="6" t="s">
        <v>70</v>
      </c>
      <c r="F4" s="5" t="s">
        <v>78</v>
      </c>
      <c r="G4" s="6" t="s">
        <v>79</v>
      </c>
      <c r="H4" s="5" t="str">
        <f>"000016"</f>
        <v>000016</v>
      </c>
      <c r="I4" s="4">
        <v>42501</v>
      </c>
      <c r="J4" s="5" t="str">
        <f>"000141"</f>
        <v>000141</v>
      </c>
      <c r="K4" s="4">
        <v>42824</v>
      </c>
      <c r="L4" s="5" t="str">
        <f>"000718"</f>
        <v>000718</v>
      </c>
      <c r="M4" s="4">
        <v>42825</v>
      </c>
      <c r="N4" s="5">
        <v>16</v>
      </c>
      <c r="O4" s="5" t="str">
        <f>"001354"</f>
        <v>001354</v>
      </c>
      <c r="P4" s="4">
        <v>43229</v>
      </c>
      <c r="Q4" s="7">
        <v>11.223000000000001</v>
      </c>
      <c r="R4" s="7">
        <v>0.7077</v>
      </c>
      <c r="S4" s="7">
        <v>10.5153</v>
      </c>
      <c r="T4" s="5">
        <v>49</v>
      </c>
      <c r="U4" s="4">
        <v>43230</v>
      </c>
      <c r="V4" s="5">
        <v>9986020978</v>
      </c>
      <c r="W4" s="6" t="s">
        <v>80</v>
      </c>
      <c r="X4" s="5" t="s">
        <v>52</v>
      </c>
      <c r="Y4" s="6" t="s">
        <v>51</v>
      </c>
      <c r="Z4" s="5" t="s">
        <v>74</v>
      </c>
      <c r="AA4" s="6" t="s">
        <v>75</v>
      </c>
      <c r="AB4" s="7">
        <v>0.11223000000000001</v>
      </c>
      <c r="AD4" s="8"/>
      <c r="AF4" s="8"/>
      <c r="AG4" s="8"/>
    </row>
    <row r="5" spans="1:33" x14ac:dyDescent="0.2">
      <c r="A5" s="12">
        <v>1310</v>
      </c>
      <c r="B5" s="13" t="s">
        <v>37</v>
      </c>
      <c r="C5" s="13">
        <v>43241</v>
      </c>
      <c r="D5" s="5">
        <v>70</v>
      </c>
      <c r="E5" s="6" t="s">
        <v>70</v>
      </c>
      <c r="F5" s="5" t="s">
        <v>81</v>
      </c>
      <c r="G5" s="6" t="s">
        <v>82</v>
      </c>
      <c r="H5" s="5" t="str">
        <f>"000170"</f>
        <v>000170</v>
      </c>
      <c r="I5" s="4">
        <v>43098</v>
      </c>
      <c r="J5" s="5" t="str">
        <f>"000004"</f>
        <v>000004</v>
      </c>
      <c r="K5" s="4">
        <v>43200</v>
      </c>
      <c r="L5" s="5" t="str">
        <f>"000018"</f>
        <v>000018</v>
      </c>
      <c r="M5" s="4">
        <v>43211</v>
      </c>
      <c r="N5" s="5">
        <v>18</v>
      </c>
      <c r="O5" s="5" t="str">
        <f>"001676"</f>
        <v>001676</v>
      </c>
      <c r="P5" s="4">
        <v>43239</v>
      </c>
      <c r="Q5" s="7">
        <v>48.656309999999998</v>
      </c>
      <c r="R5" s="7">
        <v>1.75162</v>
      </c>
      <c r="S5" s="7">
        <v>46.904690000000002</v>
      </c>
      <c r="T5" s="5">
        <v>56</v>
      </c>
      <c r="U5" s="4">
        <v>43241</v>
      </c>
      <c r="V5" s="5">
        <v>9743188999</v>
      </c>
      <c r="W5" s="6" t="s">
        <v>54</v>
      </c>
      <c r="X5" s="5" t="s">
        <v>62</v>
      </c>
      <c r="Y5" s="6" t="s">
        <v>61</v>
      </c>
      <c r="Z5" s="5" t="s">
        <v>74</v>
      </c>
      <c r="AA5" s="6" t="s">
        <v>75</v>
      </c>
      <c r="AB5" s="7">
        <v>0.48656309999999997</v>
      </c>
      <c r="AD5" s="8"/>
      <c r="AF5" s="8"/>
      <c r="AG5" s="8"/>
    </row>
    <row r="6" spans="1:33" x14ac:dyDescent="0.2">
      <c r="A6" s="12">
        <v>1311</v>
      </c>
      <c r="B6" s="13" t="s">
        <v>37</v>
      </c>
      <c r="C6" s="13">
        <v>43241</v>
      </c>
      <c r="D6" s="5">
        <v>70</v>
      </c>
      <c r="E6" s="6" t="s">
        <v>70</v>
      </c>
      <c r="F6" s="5" t="s">
        <v>83</v>
      </c>
      <c r="G6" s="6" t="s">
        <v>84</v>
      </c>
      <c r="H6" s="5" t="str">
        <f>"000165"</f>
        <v>000165</v>
      </c>
      <c r="I6" s="4">
        <v>43097</v>
      </c>
      <c r="J6" s="5" t="str">
        <f>"000002"</f>
        <v>000002</v>
      </c>
      <c r="K6" s="4">
        <v>43199</v>
      </c>
      <c r="L6" s="5" t="str">
        <f>"000019"</f>
        <v>000019</v>
      </c>
      <c r="M6" s="4">
        <v>43211</v>
      </c>
      <c r="N6" s="5">
        <v>18</v>
      </c>
      <c r="O6" s="5" t="str">
        <f>"001677"</f>
        <v>001677</v>
      </c>
      <c r="P6" s="4">
        <v>43239</v>
      </c>
      <c r="Q6" s="7">
        <v>48.633209999999998</v>
      </c>
      <c r="R6" s="7">
        <v>1.75078</v>
      </c>
      <c r="S6" s="7">
        <v>46.882429999999999</v>
      </c>
      <c r="T6" s="5">
        <v>56</v>
      </c>
      <c r="U6" s="4">
        <v>43241</v>
      </c>
      <c r="V6" s="5">
        <v>9743188999</v>
      </c>
      <c r="W6" s="6" t="s">
        <v>85</v>
      </c>
      <c r="X6" s="5" t="s">
        <v>62</v>
      </c>
      <c r="Y6" s="6" t="s">
        <v>61</v>
      </c>
      <c r="Z6" s="5" t="s">
        <v>74</v>
      </c>
      <c r="AA6" s="6" t="s">
        <v>75</v>
      </c>
      <c r="AB6" s="7">
        <v>0.48633209999999999</v>
      </c>
      <c r="AD6" s="8"/>
      <c r="AF6" s="8"/>
      <c r="AG6" s="8"/>
    </row>
    <row r="7" spans="1:33" x14ac:dyDescent="0.2">
      <c r="A7" s="12">
        <v>1789</v>
      </c>
      <c r="B7" s="13" t="s">
        <v>36</v>
      </c>
      <c r="C7" s="13">
        <v>43257</v>
      </c>
      <c r="D7" s="5">
        <v>70</v>
      </c>
      <c r="E7" s="6" t="s">
        <v>70</v>
      </c>
      <c r="F7" s="5" t="s">
        <v>86</v>
      </c>
      <c r="G7" s="6" t="s">
        <v>87</v>
      </c>
      <c r="H7" s="5" t="str">
        <f>"000016"</f>
        <v>000016</v>
      </c>
      <c r="I7" s="4">
        <v>43137</v>
      </c>
      <c r="J7" s="5" t="str">
        <f>"000022"</f>
        <v>000022</v>
      </c>
      <c r="K7" s="4">
        <v>43153</v>
      </c>
      <c r="L7" s="5" t="str">
        <f>"000022"</f>
        <v>000022</v>
      </c>
      <c r="M7" s="4">
        <v>43153</v>
      </c>
      <c r="N7" s="5">
        <v>18</v>
      </c>
      <c r="O7" s="5" t="str">
        <f>"002029"</f>
        <v>002029</v>
      </c>
      <c r="P7" s="4">
        <v>43248</v>
      </c>
      <c r="Q7" s="7">
        <v>9.9900699999999993</v>
      </c>
      <c r="R7" s="7">
        <v>0.80923999999999996</v>
      </c>
      <c r="S7" s="7">
        <v>9.1808300000000003</v>
      </c>
      <c r="T7" s="5">
        <v>72</v>
      </c>
      <c r="U7" s="4">
        <v>43257</v>
      </c>
      <c r="V7" s="5">
        <v>9986313631</v>
      </c>
      <c r="W7" s="6" t="s">
        <v>88</v>
      </c>
      <c r="X7" s="5" t="s">
        <v>64</v>
      </c>
      <c r="Y7" s="6" t="s">
        <v>63</v>
      </c>
      <c r="Z7" s="5" t="s">
        <v>50</v>
      </c>
      <c r="AA7" s="6" t="s">
        <v>49</v>
      </c>
      <c r="AB7" s="7">
        <v>9.9900699999999995E-2</v>
      </c>
      <c r="AD7" s="8"/>
      <c r="AF7" s="8"/>
      <c r="AG7" s="8"/>
    </row>
    <row r="8" spans="1:33" x14ac:dyDescent="0.2">
      <c r="A8" s="12">
        <v>1790</v>
      </c>
      <c r="B8" s="13" t="s">
        <v>36</v>
      </c>
      <c r="C8" s="13">
        <v>43257</v>
      </c>
      <c r="D8" s="5">
        <v>70</v>
      </c>
      <c r="E8" s="6" t="s">
        <v>70</v>
      </c>
      <c r="F8" s="5" t="s">
        <v>89</v>
      </c>
      <c r="G8" s="6" t="s">
        <v>90</v>
      </c>
      <c r="H8" s="5" t="str">
        <f>"000101"</f>
        <v>000101</v>
      </c>
      <c r="I8" s="4">
        <v>43075</v>
      </c>
      <c r="J8" s="5" t="str">
        <f>"000037"</f>
        <v>000037</v>
      </c>
      <c r="K8" s="4">
        <v>43185</v>
      </c>
      <c r="L8" s="5" t="str">
        <f>"000011"</f>
        <v>000011</v>
      </c>
      <c r="M8" s="4">
        <v>43201</v>
      </c>
      <c r="N8" s="5">
        <v>17</v>
      </c>
      <c r="O8" s="5" t="str">
        <f>"002054"</f>
        <v>002054</v>
      </c>
      <c r="P8" s="4">
        <v>43249</v>
      </c>
      <c r="Q8" s="7">
        <v>9.7199000000000009</v>
      </c>
      <c r="R8" s="7">
        <v>0.20412</v>
      </c>
      <c r="S8" s="7">
        <v>9.5157799999999995</v>
      </c>
      <c r="T8" s="5">
        <v>72</v>
      </c>
      <c r="U8" s="4">
        <v>43257</v>
      </c>
      <c r="V8" s="5">
        <v>9986020978</v>
      </c>
      <c r="W8" s="6" t="s">
        <v>91</v>
      </c>
      <c r="X8" s="5" t="s">
        <v>39</v>
      </c>
      <c r="Y8" s="6" t="s">
        <v>40</v>
      </c>
      <c r="Z8" s="5" t="s">
        <v>74</v>
      </c>
      <c r="AA8" s="6" t="s">
        <v>75</v>
      </c>
      <c r="AB8" s="7">
        <v>9.7199000000000008E-2</v>
      </c>
      <c r="AD8" s="8"/>
      <c r="AF8" s="8"/>
      <c r="AG8" s="8"/>
    </row>
    <row r="9" spans="1:33" x14ac:dyDescent="0.2">
      <c r="A9" s="12">
        <v>2010</v>
      </c>
      <c r="B9" s="13" t="s">
        <v>36</v>
      </c>
      <c r="C9" s="13">
        <v>43262</v>
      </c>
      <c r="D9" s="5">
        <v>70</v>
      </c>
      <c r="E9" s="6" t="s">
        <v>70</v>
      </c>
      <c r="F9" s="5" t="s">
        <v>92</v>
      </c>
      <c r="G9" s="6" t="s">
        <v>93</v>
      </c>
      <c r="H9" s="5" t="str">
        <f>"000067"</f>
        <v>000067</v>
      </c>
      <c r="I9" s="4">
        <v>42453</v>
      </c>
      <c r="J9" s="5" t="str">
        <f>"000164"</f>
        <v>000164</v>
      </c>
      <c r="K9" s="4">
        <v>42632</v>
      </c>
      <c r="L9" s="5" t="str">
        <f>"000416"</f>
        <v>000416</v>
      </c>
      <c r="M9" s="4">
        <v>42633</v>
      </c>
      <c r="N9" s="5">
        <v>16</v>
      </c>
      <c r="O9" s="5" t="str">
        <f>"002285"</f>
        <v>002285</v>
      </c>
      <c r="P9" s="4">
        <v>43258</v>
      </c>
      <c r="Q9" s="7">
        <v>13.535030000000001</v>
      </c>
      <c r="R9" s="7">
        <v>1.0617300000000001</v>
      </c>
      <c r="S9" s="7">
        <v>12.4733</v>
      </c>
      <c r="T9" s="5">
        <v>80</v>
      </c>
      <c r="U9" s="4">
        <v>43262</v>
      </c>
      <c r="V9" s="5">
        <v>9889219009</v>
      </c>
      <c r="W9" s="6" t="s">
        <v>94</v>
      </c>
      <c r="X9" s="5" t="s">
        <v>31</v>
      </c>
      <c r="Y9" s="6" t="s">
        <v>32</v>
      </c>
      <c r="Z9" s="5" t="s">
        <v>74</v>
      </c>
      <c r="AA9" s="6" t="s">
        <v>75</v>
      </c>
      <c r="AB9" s="7">
        <v>0.13535030000000001</v>
      </c>
      <c r="AD9" s="8"/>
      <c r="AF9" s="8"/>
      <c r="AG9" s="8"/>
    </row>
    <row r="10" spans="1:33" x14ac:dyDescent="0.2">
      <c r="A10" s="12">
        <v>2011</v>
      </c>
      <c r="B10" s="13" t="s">
        <v>36</v>
      </c>
      <c r="C10" s="13">
        <v>43262</v>
      </c>
      <c r="D10" s="5">
        <v>70</v>
      </c>
      <c r="E10" s="6" t="s">
        <v>70</v>
      </c>
      <c r="F10" s="5" t="s">
        <v>95</v>
      </c>
      <c r="G10" s="6" t="s">
        <v>96</v>
      </c>
      <c r="H10" s="5" t="str">
        <f>"000171"</f>
        <v>000171</v>
      </c>
      <c r="I10" s="4">
        <v>41887</v>
      </c>
      <c r="J10" s="5" t="str">
        <f>"000067"</f>
        <v>000067</v>
      </c>
      <c r="K10" s="4">
        <v>42632</v>
      </c>
      <c r="L10" s="5" t="str">
        <f>"000417"</f>
        <v>000417</v>
      </c>
      <c r="M10" s="4">
        <v>42633</v>
      </c>
      <c r="N10" s="5">
        <v>15</v>
      </c>
      <c r="O10" s="5" t="str">
        <f>"002286"</f>
        <v>002286</v>
      </c>
      <c r="P10" s="4">
        <v>43258</v>
      </c>
      <c r="Q10" s="7">
        <v>9.8738700000000001</v>
      </c>
      <c r="R10" s="7">
        <v>1.27345</v>
      </c>
      <c r="S10" s="7">
        <v>8.6004199999999997</v>
      </c>
      <c r="T10" s="5">
        <v>80</v>
      </c>
      <c r="U10" s="4">
        <v>43262</v>
      </c>
      <c r="V10" s="5">
        <v>9889219009</v>
      </c>
      <c r="W10" s="6" t="s">
        <v>53</v>
      </c>
      <c r="X10" s="5" t="s">
        <v>58</v>
      </c>
      <c r="Y10" s="6" t="s">
        <v>57</v>
      </c>
      <c r="Z10" s="5" t="s">
        <v>74</v>
      </c>
      <c r="AA10" s="6" t="s">
        <v>75</v>
      </c>
      <c r="AB10" s="7">
        <v>9.8738699999999999E-2</v>
      </c>
      <c r="AD10" s="8"/>
      <c r="AF10" s="8"/>
      <c r="AG10" s="8"/>
    </row>
    <row r="11" spans="1:33" x14ac:dyDescent="0.2">
      <c r="A11" s="12">
        <v>2012</v>
      </c>
      <c r="B11" s="13" t="s">
        <v>36</v>
      </c>
      <c r="C11" s="13">
        <v>43262</v>
      </c>
      <c r="D11" s="5">
        <v>70</v>
      </c>
      <c r="E11" s="6" t="s">
        <v>70</v>
      </c>
      <c r="F11" s="5" t="s">
        <v>97</v>
      </c>
      <c r="G11" s="6" t="s">
        <v>98</v>
      </c>
      <c r="H11" s="5" t="str">
        <f>"000042"</f>
        <v>000042</v>
      </c>
      <c r="I11" s="4">
        <v>42557</v>
      </c>
      <c r="J11" s="5" t="str">
        <f>"000064"</f>
        <v>000064</v>
      </c>
      <c r="K11" s="4">
        <v>42632</v>
      </c>
      <c r="L11" s="5" t="str">
        <f>"000418"</f>
        <v>000418</v>
      </c>
      <c r="M11" s="4">
        <v>42633</v>
      </c>
      <c r="N11" s="5">
        <v>15</v>
      </c>
      <c r="O11" s="5" t="str">
        <f>"002287"</f>
        <v>002287</v>
      </c>
      <c r="P11" s="4">
        <v>43258</v>
      </c>
      <c r="Q11" s="7">
        <v>19.198340000000002</v>
      </c>
      <c r="R11" s="7">
        <v>1.56742</v>
      </c>
      <c r="S11" s="7">
        <v>17.63092</v>
      </c>
      <c r="T11" s="5">
        <v>80</v>
      </c>
      <c r="U11" s="4">
        <v>43262</v>
      </c>
      <c r="V11" s="5">
        <v>9448542267</v>
      </c>
      <c r="W11" s="6" t="s">
        <v>99</v>
      </c>
      <c r="X11" s="5" t="s">
        <v>31</v>
      </c>
      <c r="Y11" s="6" t="s">
        <v>32</v>
      </c>
      <c r="Z11" s="5" t="s">
        <v>74</v>
      </c>
      <c r="AA11" s="6" t="s">
        <v>75</v>
      </c>
      <c r="AB11" s="7">
        <v>0.19198340000000003</v>
      </c>
      <c r="AD11" s="8"/>
      <c r="AF11" s="8"/>
      <c r="AG11" s="8"/>
    </row>
    <row r="12" spans="1:33" x14ac:dyDescent="0.2">
      <c r="A12" s="12">
        <v>2013</v>
      </c>
      <c r="B12" s="13" t="s">
        <v>36</v>
      </c>
      <c r="C12" s="13">
        <v>43262</v>
      </c>
      <c r="D12" s="5">
        <v>70</v>
      </c>
      <c r="E12" s="6" t="s">
        <v>70</v>
      </c>
      <c r="F12" s="5" t="s">
        <v>100</v>
      </c>
      <c r="G12" s="6" t="s">
        <v>101</v>
      </c>
      <c r="H12" s="5" t="str">
        <f>"000043"</f>
        <v>000043</v>
      </c>
      <c r="I12" s="4">
        <v>42557</v>
      </c>
      <c r="J12" s="5" t="str">
        <f>"000065"</f>
        <v>000065</v>
      </c>
      <c r="K12" s="4">
        <v>42632</v>
      </c>
      <c r="L12" s="5" t="str">
        <f>"000419"</f>
        <v>000419</v>
      </c>
      <c r="M12" s="4">
        <v>42633</v>
      </c>
      <c r="N12" s="5">
        <v>15</v>
      </c>
      <c r="O12" s="5" t="str">
        <f>"002288"</f>
        <v>002288</v>
      </c>
      <c r="P12" s="4">
        <v>43258</v>
      </c>
      <c r="Q12" s="7">
        <v>19.30095</v>
      </c>
      <c r="R12" s="7">
        <v>1.4901</v>
      </c>
      <c r="S12" s="7">
        <v>17.810849999999999</v>
      </c>
      <c r="T12" s="5">
        <v>80</v>
      </c>
      <c r="U12" s="4">
        <v>43262</v>
      </c>
      <c r="V12" s="5">
        <v>9448542267</v>
      </c>
      <c r="W12" s="6" t="s">
        <v>102</v>
      </c>
      <c r="X12" s="5" t="s">
        <v>31</v>
      </c>
      <c r="Y12" s="6" t="s">
        <v>32</v>
      </c>
      <c r="Z12" s="5" t="s">
        <v>74</v>
      </c>
      <c r="AA12" s="6" t="s">
        <v>75</v>
      </c>
      <c r="AB12" s="7">
        <v>0.1930095</v>
      </c>
      <c r="AD12" s="8"/>
      <c r="AF12" s="8"/>
      <c r="AG12" s="8"/>
    </row>
    <row r="13" spans="1:33" x14ac:dyDescent="0.2">
      <c r="A13" s="12">
        <v>2014</v>
      </c>
      <c r="B13" s="13" t="s">
        <v>36</v>
      </c>
      <c r="C13" s="13">
        <v>43262</v>
      </c>
      <c r="D13" s="5">
        <v>70</v>
      </c>
      <c r="E13" s="6" t="s">
        <v>70</v>
      </c>
      <c r="F13" s="5" t="s">
        <v>103</v>
      </c>
      <c r="G13" s="6" t="s">
        <v>104</v>
      </c>
      <c r="H13" s="5" t="str">
        <f>"000041"</f>
        <v>000041</v>
      </c>
      <c r="I13" s="4">
        <v>42557</v>
      </c>
      <c r="J13" s="5" t="str">
        <f>"000066"</f>
        <v>000066</v>
      </c>
      <c r="K13" s="4">
        <v>42632</v>
      </c>
      <c r="L13" s="5" t="str">
        <f>"000420"</f>
        <v>000420</v>
      </c>
      <c r="M13" s="4">
        <v>42633</v>
      </c>
      <c r="N13" s="5">
        <v>15</v>
      </c>
      <c r="O13" s="5" t="str">
        <f>"002289"</f>
        <v>002289</v>
      </c>
      <c r="P13" s="4">
        <v>43258</v>
      </c>
      <c r="Q13" s="7">
        <v>19.18158</v>
      </c>
      <c r="R13" s="7">
        <v>1.4862200000000001</v>
      </c>
      <c r="S13" s="7">
        <v>17.695360000000001</v>
      </c>
      <c r="T13" s="5">
        <v>80</v>
      </c>
      <c r="U13" s="4">
        <v>43262</v>
      </c>
      <c r="V13" s="5">
        <v>9448542267</v>
      </c>
      <c r="W13" s="6" t="s">
        <v>99</v>
      </c>
      <c r="X13" s="5" t="s">
        <v>31</v>
      </c>
      <c r="Y13" s="6" t="s">
        <v>32</v>
      </c>
      <c r="Z13" s="5" t="s">
        <v>74</v>
      </c>
      <c r="AA13" s="6" t="s">
        <v>75</v>
      </c>
      <c r="AB13" s="7">
        <v>0.19181580000000001</v>
      </c>
      <c r="AD13" s="8"/>
      <c r="AF13" s="8"/>
      <c r="AG13" s="8"/>
    </row>
    <row r="14" spans="1:33" x14ac:dyDescent="0.2">
      <c r="A14" s="12">
        <v>2296</v>
      </c>
      <c r="B14" s="13" t="s">
        <v>36</v>
      </c>
      <c r="C14" s="13">
        <v>43269</v>
      </c>
      <c r="D14" s="5">
        <v>70</v>
      </c>
      <c r="E14" s="6" t="s">
        <v>70</v>
      </c>
      <c r="F14" s="5" t="s">
        <v>105</v>
      </c>
      <c r="G14" s="6" t="s">
        <v>106</v>
      </c>
      <c r="H14" s="5" t="str">
        <f>"00050a"</f>
        <v>00050a</v>
      </c>
      <c r="I14" s="4">
        <v>41815</v>
      </c>
      <c r="J14" s="5" t="str">
        <f>"000000"</f>
        <v>000000</v>
      </c>
      <c r="K14" s="4">
        <v>42557</v>
      </c>
      <c r="L14" s="5" t="str">
        <f>"000238"</f>
        <v>000238</v>
      </c>
      <c r="M14" s="4">
        <v>42589</v>
      </c>
      <c r="N14" s="5">
        <v>14</v>
      </c>
      <c r="O14" s="5" t="str">
        <f>"002581"</f>
        <v>002581</v>
      </c>
      <c r="P14" s="4">
        <v>43265</v>
      </c>
      <c r="Q14" s="7">
        <v>11.73488</v>
      </c>
      <c r="R14" s="7">
        <v>1.5383100000000001</v>
      </c>
      <c r="S14" s="7">
        <v>10.196569999999999</v>
      </c>
      <c r="T14" s="5">
        <v>90</v>
      </c>
      <c r="U14" s="4">
        <v>43269</v>
      </c>
      <c r="V14" s="5">
        <v>9889219009</v>
      </c>
      <c r="W14" s="6" t="s">
        <v>53</v>
      </c>
      <c r="X14" s="5" t="s">
        <v>31</v>
      </c>
      <c r="Y14" s="6" t="s">
        <v>32</v>
      </c>
      <c r="Z14" s="5" t="s">
        <v>74</v>
      </c>
      <c r="AA14" s="6" t="s">
        <v>75</v>
      </c>
      <c r="AB14" s="7">
        <v>0.1173488</v>
      </c>
      <c r="AD14" s="8"/>
      <c r="AF14" s="8"/>
      <c r="AG14" s="8"/>
    </row>
    <row r="15" spans="1:33" x14ac:dyDescent="0.2">
      <c r="A15" s="12">
        <v>2704</v>
      </c>
      <c r="B15" s="13" t="s">
        <v>36</v>
      </c>
      <c r="C15" s="13">
        <v>43278</v>
      </c>
      <c r="D15" s="5">
        <v>70</v>
      </c>
      <c r="E15" s="6" t="s">
        <v>70</v>
      </c>
      <c r="F15" s="5" t="s">
        <v>107</v>
      </c>
      <c r="G15" s="6" t="s">
        <v>108</v>
      </c>
      <c r="H15" s="5" t="str">
        <f>"000039"</f>
        <v>000039</v>
      </c>
      <c r="I15" s="4">
        <v>42557</v>
      </c>
      <c r="J15" s="5" t="str">
        <f>"000049"</f>
        <v>000049</v>
      </c>
      <c r="K15" s="4">
        <v>42671</v>
      </c>
      <c r="L15" s="5" t="str">
        <f>"000497"</f>
        <v>000497</v>
      </c>
      <c r="M15" s="4">
        <v>42671</v>
      </c>
      <c r="N15" s="5">
        <v>15</v>
      </c>
      <c r="O15" s="5" t="str">
        <f>"002902"</f>
        <v>002902</v>
      </c>
      <c r="P15" s="4">
        <v>43276</v>
      </c>
      <c r="Q15" s="7">
        <v>16.484059999999999</v>
      </c>
      <c r="R15" s="7">
        <v>1.1501699999999999</v>
      </c>
      <c r="S15" s="7">
        <v>15.33389</v>
      </c>
      <c r="T15" s="5">
        <v>103</v>
      </c>
      <c r="U15" s="4">
        <v>43278</v>
      </c>
      <c r="V15" s="5">
        <v>9448542267</v>
      </c>
      <c r="W15" s="6" t="s">
        <v>102</v>
      </c>
      <c r="X15" s="5" t="s">
        <v>31</v>
      </c>
      <c r="Y15" s="6" t="s">
        <v>32</v>
      </c>
      <c r="Z15" s="5" t="s">
        <v>74</v>
      </c>
      <c r="AA15" s="6" t="s">
        <v>75</v>
      </c>
      <c r="AB15" s="7">
        <v>0.1648406</v>
      </c>
      <c r="AD15" s="8"/>
      <c r="AF15" s="8"/>
      <c r="AG15" s="8"/>
    </row>
    <row r="16" spans="1:33" x14ac:dyDescent="0.2">
      <c r="A16" s="12">
        <v>2705</v>
      </c>
      <c r="B16" s="13" t="s">
        <v>36</v>
      </c>
      <c r="C16" s="13">
        <v>43278</v>
      </c>
      <c r="D16" s="5">
        <v>70</v>
      </c>
      <c r="E16" s="6" t="s">
        <v>70</v>
      </c>
      <c r="F16" s="5" t="s">
        <v>109</v>
      </c>
      <c r="G16" s="6" t="s">
        <v>110</v>
      </c>
      <c r="H16" s="5" t="str">
        <f>"000040"</f>
        <v>000040</v>
      </c>
      <c r="I16" s="4">
        <v>42557</v>
      </c>
      <c r="J16" s="5" t="str">
        <f>"000100"</f>
        <v>000100</v>
      </c>
      <c r="K16" s="4">
        <v>42671</v>
      </c>
      <c r="L16" s="5" t="str">
        <f>"000498"</f>
        <v>000498</v>
      </c>
      <c r="M16" s="4">
        <v>42671</v>
      </c>
      <c r="N16" s="5">
        <v>15</v>
      </c>
      <c r="O16" s="5" t="str">
        <f>"002903"</f>
        <v>002903</v>
      </c>
      <c r="P16" s="4">
        <v>43276</v>
      </c>
      <c r="Q16" s="7">
        <v>14.277559999999999</v>
      </c>
      <c r="R16" s="7">
        <v>1.1529700000000001</v>
      </c>
      <c r="S16" s="7">
        <v>13.12459</v>
      </c>
      <c r="T16" s="5">
        <v>103</v>
      </c>
      <c r="U16" s="4">
        <v>43278</v>
      </c>
      <c r="V16" s="5">
        <v>9448542267</v>
      </c>
      <c r="W16" s="6" t="s">
        <v>102</v>
      </c>
      <c r="X16" s="5" t="s">
        <v>31</v>
      </c>
      <c r="Y16" s="6" t="s">
        <v>32</v>
      </c>
      <c r="Z16" s="5" t="s">
        <v>74</v>
      </c>
      <c r="AA16" s="6" t="s">
        <v>75</v>
      </c>
      <c r="AB16" s="7">
        <v>0.1427756</v>
      </c>
      <c r="AD16" s="8"/>
      <c r="AF16" s="8"/>
      <c r="AG16" s="8"/>
    </row>
    <row r="17" spans="1:33" x14ac:dyDescent="0.2">
      <c r="A17" s="12">
        <v>3221</v>
      </c>
      <c r="B17" s="13" t="s">
        <v>33</v>
      </c>
      <c r="C17" s="13">
        <v>43292</v>
      </c>
      <c r="D17" s="5">
        <v>70</v>
      </c>
      <c r="E17" s="6" t="s">
        <v>70</v>
      </c>
      <c r="F17" s="5" t="s">
        <v>111</v>
      </c>
      <c r="G17" s="6" t="s">
        <v>112</v>
      </c>
      <c r="H17" s="5" t="str">
        <f>"000001"</f>
        <v>000001</v>
      </c>
      <c r="I17" s="4">
        <v>43097</v>
      </c>
      <c r="J17" s="5" t="str">
        <f>"000005"</f>
        <v>000005</v>
      </c>
      <c r="K17" s="4">
        <v>43097</v>
      </c>
      <c r="L17" s="5" t="str">
        <f>"000072"</f>
        <v>000072</v>
      </c>
      <c r="M17" s="4">
        <v>43098</v>
      </c>
      <c r="N17" s="5">
        <v>18</v>
      </c>
      <c r="O17" s="5" t="str">
        <f>"003548"</f>
        <v>003548</v>
      </c>
      <c r="P17" s="4">
        <v>43291</v>
      </c>
      <c r="Q17" s="7">
        <v>82</v>
      </c>
      <c r="R17" s="7">
        <v>5.1680000000000001</v>
      </c>
      <c r="S17" s="7">
        <v>76.831999999999994</v>
      </c>
      <c r="T17" s="5">
        <v>121</v>
      </c>
      <c r="U17" s="4">
        <v>43292</v>
      </c>
      <c r="V17" s="5">
        <v>8660031192</v>
      </c>
      <c r="W17" s="6" t="s">
        <v>113</v>
      </c>
      <c r="X17" s="5" t="s">
        <v>42</v>
      </c>
      <c r="Y17" s="6" t="s">
        <v>41</v>
      </c>
      <c r="Z17" s="5" t="s">
        <v>60</v>
      </c>
      <c r="AA17" s="6" t="s">
        <v>59</v>
      </c>
      <c r="AB17" s="7">
        <v>0.82</v>
      </c>
      <c r="AD17" s="8"/>
      <c r="AF17" s="8"/>
      <c r="AG17" s="8"/>
    </row>
    <row r="18" spans="1:33" x14ac:dyDescent="0.2">
      <c r="A18" s="12">
        <v>3222</v>
      </c>
      <c r="B18" s="13" t="s">
        <v>33</v>
      </c>
      <c r="C18" s="13">
        <v>43292</v>
      </c>
      <c r="D18" s="5">
        <v>70</v>
      </c>
      <c r="E18" s="6" t="s">
        <v>70</v>
      </c>
      <c r="F18" s="5" t="s">
        <v>114</v>
      </c>
      <c r="G18" s="6" t="s">
        <v>115</v>
      </c>
      <c r="H18" s="5" t="str">
        <f>"000002"</f>
        <v>000002</v>
      </c>
      <c r="I18" s="4">
        <v>43097</v>
      </c>
      <c r="J18" s="5" t="str">
        <f>"000006"</f>
        <v>000006</v>
      </c>
      <c r="K18" s="4">
        <v>43097</v>
      </c>
      <c r="L18" s="5" t="str">
        <f>"000071"</f>
        <v>000071</v>
      </c>
      <c r="M18" s="4">
        <v>43098</v>
      </c>
      <c r="N18" s="5">
        <v>18</v>
      </c>
      <c r="O18" s="5" t="str">
        <f>"003549"</f>
        <v>003549</v>
      </c>
      <c r="P18" s="4">
        <v>43291</v>
      </c>
      <c r="Q18" s="7">
        <v>136.22999999999999</v>
      </c>
      <c r="R18" s="7">
        <v>9.2360000000000007</v>
      </c>
      <c r="S18" s="7">
        <v>126.994</v>
      </c>
      <c r="T18" s="5">
        <v>121</v>
      </c>
      <c r="U18" s="4">
        <v>43292</v>
      </c>
      <c r="V18" s="5">
        <v>9481279148</v>
      </c>
      <c r="W18" s="6" t="s">
        <v>113</v>
      </c>
      <c r="X18" s="5" t="s">
        <v>42</v>
      </c>
      <c r="Y18" s="6" t="s">
        <v>41</v>
      </c>
      <c r="Z18" s="5" t="s">
        <v>60</v>
      </c>
      <c r="AA18" s="6" t="s">
        <v>59</v>
      </c>
      <c r="AB18" s="7">
        <v>1.3622999999999998</v>
      </c>
      <c r="AD18" s="8"/>
      <c r="AF18" s="8"/>
      <c r="AG18" s="8"/>
    </row>
    <row r="19" spans="1:33" x14ac:dyDescent="0.2">
      <c r="A19" s="12">
        <v>3496</v>
      </c>
      <c r="B19" s="13" t="s">
        <v>33</v>
      </c>
      <c r="C19" s="13">
        <v>43299</v>
      </c>
      <c r="D19" s="5">
        <v>70</v>
      </c>
      <c r="E19" s="6" t="s">
        <v>70</v>
      </c>
      <c r="F19" s="5" t="s">
        <v>116</v>
      </c>
      <c r="G19" s="6" t="s">
        <v>117</v>
      </c>
      <c r="H19" s="5" t="str">
        <f>"00008A"</f>
        <v>00008A</v>
      </c>
      <c r="I19" s="4">
        <v>42697</v>
      </c>
      <c r="J19" s="5" t="str">
        <f>"000009"</f>
        <v>000009</v>
      </c>
      <c r="K19" s="4">
        <v>43088</v>
      </c>
      <c r="L19" s="5" t="str">
        <f>"000008"</f>
        <v>000008</v>
      </c>
      <c r="M19" s="4">
        <v>43088</v>
      </c>
      <c r="N19" s="5">
        <v>16</v>
      </c>
      <c r="O19" s="5" t="str">
        <f>"003739"</f>
        <v>003739</v>
      </c>
      <c r="P19" s="4">
        <v>43294</v>
      </c>
      <c r="Q19" s="7">
        <v>4.6788800000000004</v>
      </c>
      <c r="R19" s="7">
        <v>0.46578999999999998</v>
      </c>
      <c r="S19" s="7">
        <v>4.2130900000000002</v>
      </c>
      <c r="T19" s="5">
        <v>127</v>
      </c>
      <c r="U19" s="4">
        <v>43299</v>
      </c>
      <c r="V19" s="5">
        <v>9964168613</v>
      </c>
      <c r="W19" s="6" t="s">
        <v>118</v>
      </c>
      <c r="X19" s="5" t="s">
        <v>34</v>
      </c>
      <c r="Y19" s="6" t="s">
        <v>35</v>
      </c>
      <c r="Z19" s="5" t="s">
        <v>50</v>
      </c>
      <c r="AA19" s="6" t="s">
        <v>49</v>
      </c>
      <c r="AB19" s="7">
        <v>4.6788800000000005E-2</v>
      </c>
      <c r="AD19" s="8"/>
      <c r="AF19" s="8"/>
      <c r="AG19" s="8"/>
    </row>
    <row r="20" spans="1:33" x14ac:dyDescent="0.2">
      <c r="A20" s="12">
        <v>3497</v>
      </c>
      <c r="B20" s="13" t="s">
        <v>33</v>
      </c>
      <c r="C20" s="13">
        <v>43299</v>
      </c>
      <c r="D20" s="5">
        <v>70</v>
      </c>
      <c r="E20" s="6" t="s">
        <v>70</v>
      </c>
      <c r="F20" s="5" t="s">
        <v>116</v>
      </c>
      <c r="G20" s="6" t="s">
        <v>117</v>
      </c>
      <c r="H20" s="5" t="str">
        <f>"00008A"</f>
        <v>00008A</v>
      </c>
      <c r="I20" s="4">
        <v>42697</v>
      </c>
      <c r="J20" s="5" t="str">
        <f>"000009"</f>
        <v>000009</v>
      </c>
      <c r="K20" s="4">
        <v>43088</v>
      </c>
      <c r="L20" s="5" t="str">
        <f>"000008"</f>
        <v>000008</v>
      </c>
      <c r="M20" s="4">
        <v>43088</v>
      </c>
      <c r="N20" s="5">
        <v>16</v>
      </c>
      <c r="O20" s="5" t="str">
        <f>"003739"</f>
        <v>003739</v>
      </c>
      <c r="P20" s="4">
        <v>43294</v>
      </c>
      <c r="Q20" s="7">
        <v>5.8485899999999997</v>
      </c>
      <c r="R20" s="7">
        <v>0.36079</v>
      </c>
      <c r="S20" s="7">
        <v>5.4878</v>
      </c>
      <c r="T20" s="5">
        <v>127</v>
      </c>
      <c r="U20" s="4">
        <v>43299</v>
      </c>
      <c r="V20" s="5">
        <v>9964168613</v>
      </c>
      <c r="W20" s="6" t="s">
        <v>118</v>
      </c>
      <c r="X20" s="5" t="s">
        <v>34</v>
      </c>
      <c r="Y20" s="6" t="s">
        <v>35</v>
      </c>
      <c r="Z20" s="5" t="s">
        <v>50</v>
      </c>
      <c r="AA20" s="6" t="s">
        <v>49</v>
      </c>
      <c r="AB20" s="7">
        <v>5.84859E-2</v>
      </c>
      <c r="AD20" s="8"/>
      <c r="AF20" s="8"/>
      <c r="AG20" s="8"/>
    </row>
    <row r="21" spans="1:33" x14ac:dyDescent="0.2">
      <c r="A21" s="12">
        <v>4225</v>
      </c>
      <c r="B21" s="13" t="s">
        <v>30</v>
      </c>
      <c r="C21" s="13">
        <v>43314</v>
      </c>
      <c r="D21" s="5">
        <v>70</v>
      </c>
      <c r="E21" s="6" t="s">
        <v>70</v>
      </c>
      <c r="F21" s="5" t="s">
        <v>119</v>
      </c>
      <c r="G21" s="6" t="s">
        <v>120</v>
      </c>
      <c r="H21" s="5" t="str">
        <f>"000167"</f>
        <v>000167</v>
      </c>
      <c r="I21" s="4">
        <v>43098</v>
      </c>
      <c r="J21" s="5" t="str">
        <f>"000039"</f>
        <v>000039</v>
      </c>
      <c r="K21" s="4">
        <v>43286</v>
      </c>
      <c r="L21" s="5" t="str">
        <f>"000112"</f>
        <v>000112</v>
      </c>
      <c r="M21" s="4">
        <v>43297</v>
      </c>
      <c r="N21" s="5">
        <v>18</v>
      </c>
      <c r="O21" s="5" t="str">
        <f>"004768"</f>
        <v>004768</v>
      </c>
      <c r="P21" s="4">
        <v>43314</v>
      </c>
      <c r="Q21" s="7">
        <v>48.72569</v>
      </c>
      <c r="R21" s="7">
        <v>1.75413</v>
      </c>
      <c r="S21" s="7">
        <v>46.971559999999997</v>
      </c>
      <c r="T21" s="5">
        <v>150</v>
      </c>
      <c r="U21" s="4">
        <v>43314</v>
      </c>
      <c r="V21" s="5">
        <v>9743188999</v>
      </c>
      <c r="W21" s="6" t="s">
        <v>85</v>
      </c>
      <c r="X21" s="5" t="s">
        <v>62</v>
      </c>
      <c r="Y21" s="6" t="s">
        <v>61</v>
      </c>
      <c r="Z21" s="5" t="s">
        <v>74</v>
      </c>
      <c r="AA21" s="6" t="s">
        <v>75</v>
      </c>
      <c r="AB21" s="7">
        <v>0.48725689999999999</v>
      </c>
      <c r="AD21" s="8"/>
      <c r="AF21" s="8"/>
      <c r="AG21" s="8"/>
    </row>
    <row r="22" spans="1:33" x14ac:dyDescent="0.2">
      <c r="A22" s="12">
        <v>4804</v>
      </c>
      <c r="B22" s="13" t="s">
        <v>30</v>
      </c>
      <c r="C22" s="13">
        <v>43326</v>
      </c>
      <c r="D22" s="5">
        <v>70</v>
      </c>
      <c r="E22" s="6" t="s">
        <v>70</v>
      </c>
      <c r="F22" s="5" t="s">
        <v>121</v>
      </c>
      <c r="G22" s="6" t="s">
        <v>122</v>
      </c>
      <c r="H22" s="5" t="str">
        <f>"000012"</f>
        <v>000012</v>
      </c>
      <c r="I22" s="4">
        <v>42887</v>
      </c>
      <c r="J22" s="5" t="str">
        <f>"000024"</f>
        <v>000024</v>
      </c>
      <c r="K22" s="4">
        <v>42916</v>
      </c>
      <c r="L22" s="5" t="str">
        <f>"000025"</f>
        <v>000025</v>
      </c>
      <c r="M22" s="4">
        <v>42916</v>
      </c>
      <c r="N22" s="5">
        <v>17</v>
      </c>
      <c r="O22" s="5" t="str">
        <f>"005127"</f>
        <v>005127</v>
      </c>
      <c r="P22" s="4">
        <v>43325</v>
      </c>
      <c r="Q22" s="7">
        <v>9.8868899999999993</v>
      </c>
      <c r="R22" s="7">
        <v>0.60309999999999997</v>
      </c>
      <c r="S22" s="7">
        <v>9.2837899999999998</v>
      </c>
      <c r="T22" s="5">
        <v>172</v>
      </c>
      <c r="U22" s="4">
        <v>43326</v>
      </c>
      <c r="V22" s="5">
        <v>9964168613</v>
      </c>
      <c r="W22" s="6" t="s">
        <v>123</v>
      </c>
      <c r="X22" s="5" t="s">
        <v>31</v>
      </c>
      <c r="Y22" s="6" t="s">
        <v>32</v>
      </c>
      <c r="Z22" s="5" t="s">
        <v>50</v>
      </c>
      <c r="AA22" s="6" t="s">
        <v>49</v>
      </c>
      <c r="AB22" s="7">
        <v>9.8868899999999996E-2</v>
      </c>
      <c r="AD22" s="8"/>
      <c r="AF22" s="8"/>
      <c r="AG22" s="8"/>
    </row>
    <row r="23" spans="1:33" x14ac:dyDescent="0.2">
      <c r="A23" s="12">
        <v>5244</v>
      </c>
      <c r="B23" s="13" t="s">
        <v>38</v>
      </c>
      <c r="C23" s="13">
        <v>43346</v>
      </c>
      <c r="D23" s="5">
        <v>70</v>
      </c>
      <c r="E23" s="6" t="s">
        <v>70</v>
      </c>
      <c r="F23" s="5" t="s">
        <v>124</v>
      </c>
      <c r="G23" s="6" t="s">
        <v>125</v>
      </c>
      <c r="H23" s="5" t="str">
        <f>"00O026"</f>
        <v>00O026</v>
      </c>
      <c r="I23" s="4">
        <v>42537</v>
      </c>
      <c r="J23" s="5" t="str">
        <f>"000140"</f>
        <v>000140</v>
      </c>
      <c r="K23" s="4">
        <v>42825</v>
      </c>
      <c r="L23" s="5" t="str">
        <f>"000694"</f>
        <v>000694</v>
      </c>
      <c r="M23" s="4">
        <v>42825</v>
      </c>
      <c r="N23" s="5">
        <v>16</v>
      </c>
      <c r="O23" s="5" t="str">
        <f>"005321"</f>
        <v>005321</v>
      </c>
      <c r="P23" s="4">
        <v>43333</v>
      </c>
      <c r="Q23" s="7">
        <v>19.986930000000001</v>
      </c>
      <c r="R23" s="7">
        <v>2.6765099999999999</v>
      </c>
      <c r="S23" s="7">
        <v>17.310420000000001</v>
      </c>
      <c r="T23" s="5">
        <v>193</v>
      </c>
      <c r="U23" s="4">
        <v>43346</v>
      </c>
      <c r="V23" s="5">
        <v>9449219009</v>
      </c>
      <c r="W23" s="6" t="s">
        <v>53</v>
      </c>
      <c r="X23" s="5" t="s">
        <v>56</v>
      </c>
      <c r="Y23" s="6" t="s">
        <v>55</v>
      </c>
      <c r="Z23" s="5" t="s">
        <v>74</v>
      </c>
      <c r="AA23" s="6" t="s">
        <v>75</v>
      </c>
      <c r="AB23" s="7">
        <f>Q23/100</f>
        <v>0.1998693</v>
      </c>
      <c r="AD23" s="8"/>
      <c r="AF23" s="8"/>
      <c r="AG23" s="8"/>
    </row>
    <row r="24" spans="1:33" x14ac:dyDescent="0.2">
      <c r="A24" s="12">
        <v>5245</v>
      </c>
      <c r="B24" s="13" t="s">
        <v>38</v>
      </c>
      <c r="C24" s="13">
        <v>43346</v>
      </c>
      <c r="D24" s="5">
        <v>70</v>
      </c>
      <c r="E24" s="6" t="s">
        <v>70</v>
      </c>
      <c r="F24" s="5" t="s">
        <v>126</v>
      </c>
      <c r="G24" s="6" t="s">
        <v>127</v>
      </c>
      <c r="H24" s="5" t="str">
        <f>"000030"</f>
        <v>000030</v>
      </c>
      <c r="I24" s="4">
        <v>42537</v>
      </c>
      <c r="J24" s="5" t="str">
        <f>"000139"</f>
        <v>000139</v>
      </c>
      <c r="K24" s="4">
        <v>42825</v>
      </c>
      <c r="L24" s="5" t="str">
        <f>"000695"</f>
        <v>000695</v>
      </c>
      <c r="M24" s="4">
        <v>42825</v>
      </c>
      <c r="N24" s="5">
        <v>16</v>
      </c>
      <c r="O24" s="5" t="str">
        <f>"005322"</f>
        <v>005322</v>
      </c>
      <c r="P24" s="4">
        <v>43333</v>
      </c>
      <c r="Q24" s="7">
        <v>19.991399999999999</v>
      </c>
      <c r="R24" s="7">
        <v>2.66709</v>
      </c>
      <c r="S24" s="7">
        <v>17.324310000000001</v>
      </c>
      <c r="T24" s="5">
        <v>193</v>
      </c>
      <c r="U24" s="4">
        <v>43346</v>
      </c>
      <c r="V24" s="5">
        <v>9449219009</v>
      </c>
      <c r="W24" s="6" t="s">
        <v>53</v>
      </c>
      <c r="X24" s="5" t="s">
        <v>56</v>
      </c>
      <c r="Y24" s="6" t="s">
        <v>55</v>
      </c>
      <c r="Z24" s="5" t="s">
        <v>74</v>
      </c>
      <c r="AA24" s="6" t="s">
        <v>75</v>
      </c>
      <c r="AB24" s="7">
        <f>Q24/100</f>
        <v>0.19991399999999998</v>
      </c>
      <c r="AD24" s="8"/>
      <c r="AF24" s="8"/>
      <c r="AG24" s="8"/>
    </row>
    <row r="25" spans="1:33" x14ac:dyDescent="0.2">
      <c r="A25" s="12">
        <v>5537</v>
      </c>
      <c r="B25" s="13" t="s">
        <v>38</v>
      </c>
      <c r="C25" s="13">
        <v>43362</v>
      </c>
      <c r="D25" s="5">
        <v>70</v>
      </c>
      <c r="E25" s="6" t="s">
        <v>70</v>
      </c>
      <c r="F25" s="5" t="s">
        <v>128</v>
      </c>
      <c r="G25" s="6" t="s">
        <v>129</v>
      </c>
      <c r="H25" s="5" t="str">
        <f>"000124"</f>
        <v>000124</v>
      </c>
      <c r="I25" s="4">
        <v>43085</v>
      </c>
      <c r="J25" s="5" t="str">
        <f>"000041"</f>
        <v>000041</v>
      </c>
      <c r="K25" s="4">
        <v>43288</v>
      </c>
      <c r="L25" s="5" t="str">
        <f>"000154"</f>
        <v>000154</v>
      </c>
      <c r="M25" s="4">
        <v>43314</v>
      </c>
      <c r="N25" s="5">
        <v>18</v>
      </c>
      <c r="O25" s="5" t="str">
        <f>"005793"</f>
        <v>005793</v>
      </c>
      <c r="P25" s="4">
        <v>43361</v>
      </c>
      <c r="Q25" s="7">
        <v>24.99446</v>
      </c>
      <c r="R25" s="7">
        <v>2.1091899999999999</v>
      </c>
      <c r="S25" s="7">
        <v>22.885269999999998</v>
      </c>
      <c r="T25" s="5">
        <v>206</v>
      </c>
      <c r="U25" s="4">
        <v>43362</v>
      </c>
      <c r="V25" s="5">
        <v>9901908019</v>
      </c>
      <c r="W25" s="6" t="s">
        <v>53</v>
      </c>
      <c r="X25" s="5" t="s">
        <v>47</v>
      </c>
      <c r="Y25" s="6" t="s">
        <v>46</v>
      </c>
      <c r="Z25" s="5" t="s">
        <v>74</v>
      </c>
      <c r="AA25" s="6" t="s">
        <v>75</v>
      </c>
      <c r="AB25" s="7">
        <f>Q25/100</f>
        <v>0.24994459999999999</v>
      </c>
      <c r="AD25" s="8"/>
      <c r="AF25" s="8"/>
      <c r="AG25" s="8"/>
    </row>
    <row r="26" spans="1:33" x14ac:dyDescent="0.2">
      <c r="A26" s="12">
        <v>5660</v>
      </c>
      <c r="B26" s="13" t="s">
        <v>38</v>
      </c>
      <c r="C26" s="13">
        <v>43370</v>
      </c>
      <c r="D26" s="5">
        <v>70</v>
      </c>
      <c r="E26" s="6" t="s">
        <v>70</v>
      </c>
      <c r="F26" s="5" t="s">
        <v>130</v>
      </c>
      <c r="G26" s="6" t="s">
        <v>131</v>
      </c>
      <c r="H26" s="5" t="str">
        <f>"000109"</f>
        <v>000109</v>
      </c>
      <c r="I26" s="4">
        <v>43077</v>
      </c>
      <c r="J26" s="5" t="str">
        <f>"000043"</f>
        <v>000043</v>
      </c>
      <c r="K26" s="4">
        <v>43291</v>
      </c>
      <c r="L26" s="5" t="str">
        <f>"000151"</f>
        <v>000151</v>
      </c>
      <c r="M26" s="4">
        <v>43309</v>
      </c>
      <c r="N26" s="5">
        <v>17</v>
      </c>
      <c r="O26" s="5" t="str">
        <f>"006001"</f>
        <v>006001</v>
      </c>
      <c r="P26" s="4">
        <v>43369</v>
      </c>
      <c r="Q26" s="7">
        <v>9.8927399999999999</v>
      </c>
      <c r="R26" s="7">
        <v>0.20774999999999999</v>
      </c>
      <c r="S26" s="7">
        <v>9.6849900000000009</v>
      </c>
      <c r="T26" s="5">
        <v>214</v>
      </c>
      <c r="U26" s="4">
        <v>43370</v>
      </c>
      <c r="V26" s="5">
        <v>9900175940</v>
      </c>
      <c r="W26" s="6" t="s">
        <v>65</v>
      </c>
      <c r="X26" s="5" t="s">
        <v>39</v>
      </c>
      <c r="Y26" s="6" t="s">
        <v>40</v>
      </c>
      <c r="Z26" s="5" t="s">
        <v>74</v>
      </c>
      <c r="AA26" s="6" t="s">
        <v>75</v>
      </c>
      <c r="AB26" s="7">
        <f>Q26/100</f>
        <v>9.8927399999999999E-2</v>
      </c>
      <c r="AD26" s="8"/>
      <c r="AF26" s="8"/>
      <c r="AG26" s="8"/>
    </row>
    <row r="27" spans="1:33" x14ac:dyDescent="0.2">
      <c r="A27" s="12">
        <v>6070</v>
      </c>
      <c r="B27" s="13" t="s">
        <v>43</v>
      </c>
      <c r="C27" s="13">
        <v>43385</v>
      </c>
      <c r="D27" s="5">
        <v>70</v>
      </c>
      <c r="E27" s="6" t="s">
        <v>70</v>
      </c>
      <c r="F27" s="5" t="s">
        <v>132</v>
      </c>
      <c r="G27" s="6" t="s">
        <v>133</v>
      </c>
      <c r="H27" s="5" t="str">
        <f>"000323"</f>
        <v>000323</v>
      </c>
      <c r="I27" s="4">
        <v>42089</v>
      </c>
      <c r="J27" s="5" t="str">
        <f>"000296"</f>
        <v>000296</v>
      </c>
      <c r="K27" s="4">
        <v>42185</v>
      </c>
      <c r="L27" s="5" t="str">
        <f>"000153"</f>
        <v>000153</v>
      </c>
      <c r="M27" s="4">
        <v>42219</v>
      </c>
      <c r="N27" s="5">
        <v>15</v>
      </c>
      <c r="O27" s="5" t="str">
        <f>"002402"</f>
        <v>002402</v>
      </c>
      <c r="P27" s="4">
        <v>42885</v>
      </c>
      <c r="Q27" s="7">
        <v>9.6459200000000003</v>
      </c>
      <c r="R27" s="7">
        <v>0.77310000000000001</v>
      </c>
      <c r="S27" s="7">
        <v>8.8728200000000008</v>
      </c>
      <c r="T27" s="5">
        <v>230</v>
      </c>
      <c r="U27" s="4">
        <v>43385</v>
      </c>
      <c r="V27" s="5">
        <v>9448736905</v>
      </c>
      <c r="W27" s="6" t="s">
        <v>134</v>
      </c>
      <c r="X27" s="5" t="s">
        <v>31</v>
      </c>
      <c r="Y27" s="6" t="s">
        <v>32</v>
      </c>
      <c r="Z27" s="5" t="s">
        <v>74</v>
      </c>
      <c r="AA27" s="6" t="s">
        <v>75</v>
      </c>
      <c r="AB27" s="7">
        <f>Q27/100</f>
        <v>9.6459200000000009E-2</v>
      </c>
      <c r="AD27" s="8"/>
      <c r="AF27" s="8"/>
      <c r="AG27" s="8"/>
    </row>
    <row r="28" spans="1:33" x14ac:dyDescent="0.2">
      <c r="A28" s="12">
        <v>6071</v>
      </c>
      <c r="B28" s="13" t="s">
        <v>43</v>
      </c>
      <c r="C28" s="13">
        <v>43385</v>
      </c>
      <c r="D28" s="5">
        <v>70</v>
      </c>
      <c r="E28" s="6" t="s">
        <v>70</v>
      </c>
      <c r="F28" s="5" t="s">
        <v>135</v>
      </c>
      <c r="G28" s="6" t="s">
        <v>136</v>
      </c>
      <c r="H28" s="5" t="str">
        <f>"000046"</f>
        <v>000046</v>
      </c>
      <c r="I28" s="4">
        <v>42453</v>
      </c>
      <c r="J28" s="5" t="str">
        <f>"000040"</f>
        <v>000040</v>
      </c>
      <c r="K28" s="4">
        <v>42581</v>
      </c>
      <c r="L28" s="5" t="str">
        <f>"000352"</f>
        <v>000352</v>
      </c>
      <c r="M28" s="4">
        <v>42586</v>
      </c>
      <c r="N28" s="5">
        <v>16</v>
      </c>
      <c r="O28" s="5" t="str">
        <f>"006091"</f>
        <v>006091</v>
      </c>
      <c r="P28" s="4">
        <v>43374</v>
      </c>
      <c r="Q28" s="7">
        <v>8.9981600000000004</v>
      </c>
      <c r="R28" s="7">
        <v>0.68572999999999995</v>
      </c>
      <c r="S28" s="7">
        <v>8.3124300000000009</v>
      </c>
      <c r="T28" s="5">
        <v>231</v>
      </c>
      <c r="U28" s="4">
        <v>43385</v>
      </c>
      <c r="V28" s="5">
        <v>9889219009</v>
      </c>
      <c r="W28" s="6" t="s">
        <v>137</v>
      </c>
      <c r="X28" s="5" t="s">
        <v>31</v>
      </c>
      <c r="Y28" s="6" t="s">
        <v>32</v>
      </c>
      <c r="Z28" s="5" t="s">
        <v>74</v>
      </c>
      <c r="AA28" s="6" t="s">
        <v>75</v>
      </c>
      <c r="AB28" s="7">
        <f>Q28/100</f>
        <v>8.9981600000000009E-2</v>
      </c>
      <c r="AD28" s="8"/>
      <c r="AF28" s="8"/>
      <c r="AG28" s="8"/>
    </row>
    <row r="29" spans="1:33" x14ac:dyDescent="0.2">
      <c r="A29" s="12">
        <v>6547</v>
      </c>
      <c r="B29" s="13" t="s">
        <v>43</v>
      </c>
      <c r="C29" s="13">
        <v>43389</v>
      </c>
      <c r="D29" s="5">
        <v>70</v>
      </c>
      <c r="E29" s="6" t="s">
        <v>70</v>
      </c>
      <c r="F29" s="5" t="s">
        <v>138</v>
      </c>
      <c r="G29" s="6" t="s">
        <v>139</v>
      </c>
      <c r="H29" s="5" t="str">
        <f>"000015"</f>
        <v>000015</v>
      </c>
      <c r="I29" s="4">
        <v>42957</v>
      </c>
      <c r="J29" s="5" t="str">
        <f>"000009"</f>
        <v>000009</v>
      </c>
      <c r="K29" s="4">
        <v>43096</v>
      </c>
      <c r="L29" s="5" t="str">
        <f>"000072"</f>
        <v>000072</v>
      </c>
      <c r="M29" s="4">
        <v>43098</v>
      </c>
      <c r="N29" s="5">
        <v>17</v>
      </c>
      <c r="O29" s="5" t="str">
        <f>"006648"</f>
        <v>006648</v>
      </c>
      <c r="P29" s="4">
        <v>43385</v>
      </c>
      <c r="Q29" s="7">
        <v>39.621670000000002</v>
      </c>
      <c r="R29" s="7">
        <v>3.2093500000000001</v>
      </c>
      <c r="S29" s="7">
        <v>36.412320000000001</v>
      </c>
      <c r="T29" s="5">
        <v>241</v>
      </c>
      <c r="U29" s="4">
        <v>43389</v>
      </c>
      <c r="V29" s="5">
        <v>944821012</v>
      </c>
      <c r="W29" s="6" t="s">
        <v>53</v>
      </c>
      <c r="X29" s="5" t="s">
        <v>52</v>
      </c>
      <c r="Y29" s="6" t="s">
        <v>51</v>
      </c>
      <c r="Z29" s="5" t="s">
        <v>74</v>
      </c>
      <c r="AA29" s="6" t="s">
        <v>75</v>
      </c>
      <c r="AB29" s="7">
        <f>Q29/100</f>
        <v>0.39621670000000003</v>
      </c>
      <c r="AD29" s="8"/>
      <c r="AF29" s="8"/>
      <c r="AG29" s="8"/>
    </row>
    <row r="30" spans="1:33" x14ac:dyDescent="0.2">
      <c r="A30" s="12">
        <v>6928</v>
      </c>
      <c r="B30" s="13" t="s">
        <v>43</v>
      </c>
      <c r="C30" s="13">
        <v>43402</v>
      </c>
      <c r="D30" s="5">
        <v>70</v>
      </c>
      <c r="E30" s="6" t="s">
        <v>70</v>
      </c>
      <c r="F30" s="5" t="s">
        <v>140</v>
      </c>
      <c r="G30" s="6" t="s">
        <v>141</v>
      </c>
      <c r="H30" s="5" t="str">
        <f>"000017"</f>
        <v>000017</v>
      </c>
      <c r="I30" s="4">
        <v>43374</v>
      </c>
      <c r="J30" s="5" t="str">
        <f>"000030"</f>
        <v>000030</v>
      </c>
      <c r="K30" s="4">
        <v>43419</v>
      </c>
      <c r="L30" s="5" t="str">
        <f>"000029"</f>
        <v>000029</v>
      </c>
      <c r="M30" s="4">
        <v>43421</v>
      </c>
      <c r="N30" s="5">
        <v>18</v>
      </c>
      <c r="O30" s="5" t="str">
        <f>"008360"</f>
        <v>008360</v>
      </c>
      <c r="P30" s="4">
        <v>43463</v>
      </c>
      <c r="Q30" s="7">
        <v>96.309579999999997</v>
      </c>
      <c r="R30" s="7">
        <v>10.52749</v>
      </c>
      <c r="S30" s="7">
        <v>85.782089999999997</v>
      </c>
      <c r="T30" s="5">
        <v>252</v>
      </c>
      <c r="U30" s="4">
        <v>43402</v>
      </c>
      <c r="V30" s="5">
        <v>8553960114</v>
      </c>
      <c r="W30" s="6" t="s">
        <v>142</v>
      </c>
      <c r="X30" s="5" t="s">
        <v>28</v>
      </c>
      <c r="Y30" s="6" t="s">
        <v>29</v>
      </c>
      <c r="Z30" s="5" t="s">
        <v>66</v>
      </c>
      <c r="AA30" s="6" t="s">
        <v>67</v>
      </c>
      <c r="AB30" s="7">
        <f>Q30/100</f>
        <v>0.96309579999999995</v>
      </c>
      <c r="AD30" s="8"/>
      <c r="AF30" s="8"/>
      <c r="AG30" s="8"/>
    </row>
    <row r="31" spans="1:33" x14ac:dyDescent="0.2">
      <c r="A31" s="12">
        <v>6929</v>
      </c>
      <c r="B31" s="13" t="s">
        <v>43</v>
      </c>
      <c r="C31" s="13">
        <v>43402</v>
      </c>
      <c r="D31" s="5">
        <v>70</v>
      </c>
      <c r="E31" s="6" t="s">
        <v>70</v>
      </c>
      <c r="F31" s="5" t="s">
        <v>143</v>
      </c>
      <c r="G31" s="6" t="s">
        <v>144</v>
      </c>
      <c r="H31" s="5" t="str">
        <f>"000014"</f>
        <v>000014</v>
      </c>
      <c r="I31" s="4">
        <v>43358</v>
      </c>
      <c r="J31" s="5" t="str">
        <f>"000034"</f>
        <v>000034</v>
      </c>
      <c r="K31" s="4">
        <v>43423</v>
      </c>
      <c r="L31" s="5" t="str">
        <f>"000031"</f>
        <v>000031</v>
      </c>
      <c r="M31" s="4">
        <v>43424</v>
      </c>
      <c r="N31" s="5">
        <v>18</v>
      </c>
      <c r="O31" s="5" t="str">
        <f>"008419"</f>
        <v>008419</v>
      </c>
      <c r="P31" s="4">
        <v>43463</v>
      </c>
      <c r="Q31" s="7">
        <v>96.827470000000005</v>
      </c>
      <c r="R31" s="7">
        <v>10.64148</v>
      </c>
      <c r="S31" s="7">
        <v>86.185990000000004</v>
      </c>
      <c r="T31" s="5">
        <v>252</v>
      </c>
      <c r="U31" s="4">
        <v>43402</v>
      </c>
      <c r="V31" s="5">
        <v>9972999991</v>
      </c>
      <c r="W31" s="6" t="s">
        <v>68</v>
      </c>
      <c r="X31" s="5" t="s">
        <v>28</v>
      </c>
      <c r="Y31" s="6" t="s">
        <v>29</v>
      </c>
      <c r="Z31" s="5" t="s">
        <v>66</v>
      </c>
      <c r="AA31" s="6" t="s">
        <v>67</v>
      </c>
      <c r="AB31" s="7">
        <f>Q31/100</f>
        <v>0.96827470000000004</v>
      </c>
      <c r="AD31" s="8"/>
      <c r="AF31" s="8"/>
      <c r="AG31" s="8"/>
    </row>
    <row r="32" spans="1:33" x14ac:dyDescent="0.2">
      <c r="A32" s="12">
        <v>6930</v>
      </c>
      <c r="B32" s="13" t="s">
        <v>43</v>
      </c>
      <c r="C32" s="13">
        <v>43402</v>
      </c>
      <c r="D32" s="5">
        <v>70</v>
      </c>
      <c r="E32" s="6" t="s">
        <v>70</v>
      </c>
      <c r="F32" s="5" t="s">
        <v>145</v>
      </c>
      <c r="G32" s="6" t="s">
        <v>146</v>
      </c>
      <c r="H32" s="5" t="str">
        <f>"000019"</f>
        <v>000019</v>
      </c>
      <c r="I32" s="4">
        <v>43388</v>
      </c>
      <c r="J32" s="5" t="str">
        <f>"000021"</f>
        <v>000021</v>
      </c>
      <c r="K32" s="4">
        <v>43389</v>
      </c>
      <c r="L32" s="5" t="str">
        <f>"000022"</f>
        <v>000022</v>
      </c>
      <c r="M32" s="4">
        <v>43389</v>
      </c>
      <c r="N32" s="5">
        <v>18</v>
      </c>
      <c r="O32" s="5" t="str">
        <f>"007079"</f>
        <v>007079</v>
      </c>
      <c r="P32" s="4">
        <v>43400</v>
      </c>
      <c r="Q32" s="7">
        <v>83.200180000000003</v>
      </c>
      <c r="R32" s="7">
        <v>8.9567999999999994</v>
      </c>
      <c r="S32" s="7">
        <v>74.243380000000002</v>
      </c>
      <c r="T32" s="5">
        <v>252</v>
      </c>
      <c r="U32" s="4">
        <v>43402</v>
      </c>
      <c r="V32" s="5">
        <v>9972999991</v>
      </c>
      <c r="W32" s="6" t="s">
        <v>68</v>
      </c>
      <c r="X32" s="5" t="s">
        <v>28</v>
      </c>
      <c r="Y32" s="6" t="s">
        <v>29</v>
      </c>
      <c r="Z32" s="5" t="s">
        <v>66</v>
      </c>
      <c r="AA32" s="6" t="s">
        <v>67</v>
      </c>
      <c r="AB32" s="7">
        <f>Q32/100</f>
        <v>0.83200180000000001</v>
      </c>
      <c r="AD32" s="8"/>
      <c r="AF32" s="8"/>
      <c r="AG32" s="8"/>
    </row>
    <row r="33" spans="1:33" x14ac:dyDescent="0.2">
      <c r="A33" s="12">
        <v>6931</v>
      </c>
      <c r="B33" s="13" t="s">
        <v>43</v>
      </c>
      <c r="C33" s="13">
        <v>43402</v>
      </c>
      <c r="D33" s="5">
        <v>70</v>
      </c>
      <c r="E33" s="6" t="s">
        <v>70</v>
      </c>
      <c r="F33" s="5" t="s">
        <v>147</v>
      </c>
      <c r="G33" s="6" t="s">
        <v>148</v>
      </c>
      <c r="H33" s="5" t="str">
        <f>"000020"</f>
        <v>000020</v>
      </c>
      <c r="I33" s="4">
        <v>43388</v>
      </c>
      <c r="J33" s="5" t="str">
        <f>"000025"</f>
        <v>000025</v>
      </c>
      <c r="K33" s="4">
        <v>43389</v>
      </c>
      <c r="L33" s="5" t="str">
        <f>"000023"</f>
        <v>000023</v>
      </c>
      <c r="M33" s="4">
        <v>43389</v>
      </c>
      <c r="N33" s="5">
        <v>18</v>
      </c>
      <c r="O33" s="5" t="str">
        <f>"007080"</f>
        <v>007080</v>
      </c>
      <c r="P33" s="4">
        <v>43400</v>
      </c>
      <c r="Q33" s="7">
        <v>126.51712999999999</v>
      </c>
      <c r="R33" s="7">
        <v>13.927429999999999</v>
      </c>
      <c r="S33" s="7">
        <v>112.58969999999999</v>
      </c>
      <c r="T33" s="5">
        <v>252</v>
      </c>
      <c r="U33" s="4">
        <v>43402</v>
      </c>
      <c r="V33" s="5">
        <v>9972999991</v>
      </c>
      <c r="W33" s="6" t="s">
        <v>68</v>
      </c>
      <c r="X33" s="5" t="s">
        <v>28</v>
      </c>
      <c r="Y33" s="6" t="s">
        <v>29</v>
      </c>
      <c r="Z33" s="5" t="s">
        <v>66</v>
      </c>
      <c r="AA33" s="6" t="s">
        <v>67</v>
      </c>
      <c r="AB33" s="7">
        <f>Q33/100</f>
        <v>1.2651713</v>
      </c>
      <c r="AD33" s="8"/>
      <c r="AF33" s="8"/>
      <c r="AG33" s="8"/>
    </row>
    <row r="34" spans="1:33" x14ac:dyDescent="0.2">
      <c r="A34" s="12">
        <v>6932</v>
      </c>
      <c r="B34" s="13" t="s">
        <v>43</v>
      </c>
      <c r="C34" s="13">
        <v>43402</v>
      </c>
      <c r="D34" s="5">
        <v>70</v>
      </c>
      <c r="E34" s="6" t="s">
        <v>70</v>
      </c>
      <c r="F34" s="5" t="s">
        <v>149</v>
      </c>
      <c r="G34" s="6" t="s">
        <v>150</v>
      </c>
      <c r="H34" s="5" t="str">
        <f>"000012"</f>
        <v>000012</v>
      </c>
      <c r="I34" s="4">
        <v>43350</v>
      </c>
      <c r="J34" s="5" t="str">
        <f>"000033"</f>
        <v>000033</v>
      </c>
      <c r="K34" s="4">
        <v>43423</v>
      </c>
      <c r="L34" s="5" t="str">
        <f>"000032"</f>
        <v>000032</v>
      </c>
      <c r="M34" s="4">
        <v>43424</v>
      </c>
      <c r="N34" s="5">
        <v>18</v>
      </c>
      <c r="O34" s="5" t="str">
        <f>"008421"</f>
        <v>008421</v>
      </c>
      <c r="P34" s="4">
        <v>43463</v>
      </c>
      <c r="Q34" s="7">
        <v>123.36837</v>
      </c>
      <c r="R34" s="7">
        <v>13.490170000000001</v>
      </c>
      <c r="S34" s="7">
        <v>109.87820000000001</v>
      </c>
      <c r="T34" s="5">
        <v>252</v>
      </c>
      <c r="U34" s="4">
        <v>43402</v>
      </c>
      <c r="V34" s="5">
        <v>9972999991</v>
      </c>
      <c r="W34" s="6" t="s">
        <v>68</v>
      </c>
      <c r="X34" s="5" t="s">
        <v>28</v>
      </c>
      <c r="Y34" s="6" t="s">
        <v>29</v>
      </c>
      <c r="Z34" s="5" t="s">
        <v>66</v>
      </c>
      <c r="AA34" s="6" t="s">
        <v>67</v>
      </c>
      <c r="AB34" s="7">
        <f>Q34/100</f>
        <v>1.2336837</v>
      </c>
      <c r="AD34" s="8"/>
      <c r="AF34" s="8"/>
      <c r="AG34" s="8"/>
    </row>
    <row r="35" spans="1:33" x14ac:dyDescent="0.2">
      <c r="A35" s="12">
        <v>6988</v>
      </c>
      <c r="B35" s="13" t="s">
        <v>43</v>
      </c>
      <c r="C35" s="13">
        <v>43403</v>
      </c>
      <c r="D35" s="5">
        <v>70</v>
      </c>
      <c r="E35" s="6" t="s">
        <v>70</v>
      </c>
      <c r="F35" s="5" t="s">
        <v>151</v>
      </c>
      <c r="G35" s="6" t="s">
        <v>152</v>
      </c>
      <c r="H35" s="5" t="str">
        <f>"000074"</f>
        <v>000074</v>
      </c>
      <c r="I35" s="4">
        <v>42870</v>
      </c>
      <c r="J35" s="5" t="str">
        <f>"000004"</f>
        <v>000004</v>
      </c>
      <c r="K35" s="4">
        <v>42993</v>
      </c>
      <c r="L35" s="5" t="str">
        <f>"000016"</f>
        <v>000016</v>
      </c>
      <c r="M35" s="4">
        <v>42997</v>
      </c>
      <c r="N35" s="5">
        <v>17</v>
      </c>
      <c r="O35" s="5" t="str">
        <f>"006956"</f>
        <v>006956</v>
      </c>
      <c r="P35" s="4">
        <v>43399</v>
      </c>
      <c r="Q35" s="7">
        <v>17.533799999999999</v>
      </c>
      <c r="R35" s="7">
        <v>0.36820999999999998</v>
      </c>
      <c r="S35" s="7">
        <v>17.165590000000002</v>
      </c>
      <c r="T35" s="5">
        <v>253</v>
      </c>
      <c r="U35" s="4">
        <v>43403</v>
      </c>
      <c r="V35" s="5">
        <v>9986020978</v>
      </c>
      <c r="W35" s="6" t="s">
        <v>153</v>
      </c>
      <c r="X35" s="5" t="s">
        <v>31</v>
      </c>
      <c r="Y35" s="6" t="s">
        <v>32</v>
      </c>
      <c r="Z35" s="5" t="s">
        <v>74</v>
      </c>
      <c r="AA35" s="6" t="s">
        <v>75</v>
      </c>
      <c r="AB35" s="7">
        <f>Q35/100</f>
        <v>0.17533799999999999</v>
      </c>
      <c r="AD35" s="8"/>
      <c r="AF35" s="8"/>
      <c r="AG35" s="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2019-01-08T05:01:28Z</dcterms:created>
  <dcterms:modified xsi:type="dcterms:W3CDTF">2019-01-14T14:00:44Z</dcterms:modified>
</cp:coreProperties>
</file>