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3" i="1" l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<sst xmlns="http://schemas.openxmlformats.org/spreadsheetml/2006/main" count="496" uniqueCount="187">
  <si>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</si>
  <si>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</si>
  <si>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</si>
  <si>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</si>
  <si>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</si>
  <si>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</si>
  <si>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</si>
  <si>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</si>
  <si>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</si>
  <si>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</si>
  <si>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</si>
  <si>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</si>
  <si>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</si>
  <si>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</si>
  <si>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</si>
  <si>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</si>
  <si>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</si>
  <si>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</si>
  <si>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</si>
  <si>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</si>
  <si>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</si>
  <si>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</si>
  <si>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</si>
  <si>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</si>
  <si>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</si>
  <si>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</si>
  <si>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</si>
  <si>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</si>
  <si>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</si>
  <si>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</si>
  <si>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</si>
  <si>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</si>
  <si>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</si>
  <si>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</si>
  <si>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</si>
  <si>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</si>
  <si>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</si>
  <si>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</si>
  <si>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</si>
  <si>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</si>
  <si>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</si>
  <si>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</si>
  <si>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</si>
  <si>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</si>
  <si>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</si>
  <si>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</si>
  <si>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</si>
  <si>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</si>
  <si>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</si>
  <si>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</si>
  <si>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</si>
  <si>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</si>
  <si>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</si>
  <si>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</si>
  <si>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</si>
  <si>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</si>
  <si>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Executive Engineer, KRIDL</t>
  </si>
  <si>
    <t>14th Finance Commission Works - Road and Footpath Maintenance</t>
  </si>
  <si>
    <t>P3296</t>
  </si>
  <si>
    <t>14th Finance Commission Works - UGD Works</t>
  </si>
  <si>
    <t>P3295</t>
  </si>
  <si>
    <t>14th Finance Commission Grants - SWD Works</t>
  </si>
  <si>
    <t>P3297</t>
  </si>
  <si>
    <t>P2201</t>
  </si>
  <si>
    <t>Assembly Constituency Development Works under BBMP</t>
  </si>
  <si>
    <t>ddo201</t>
  </si>
  <si>
    <t xml:space="preserve"> Assistant Executive Engineer Mahalakshmipuram West Zone</t>
  </si>
  <si>
    <t>kridl</t>
  </si>
  <si>
    <t>ddo326</t>
  </si>
  <si>
    <t xml:space="preserve"> Executive Engineer SWM 1 Central Zone</t>
  </si>
  <si>
    <t xml:space="preserve">M/s KRIDL </t>
  </si>
  <si>
    <t>M/s KRIDL</t>
  </si>
  <si>
    <t>P2178</t>
  </si>
  <si>
    <t>Works sanctioned by Dy. Mayor</t>
  </si>
  <si>
    <t>Ms Manoj Enterprises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</si>
  <si>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</si>
  <si>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</si>
  <si>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M/s Nandish Associates</t>
  </si>
  <si>
    <t>T.Rajesh</t>
  </si>
  <si>
    <t>Shakthi Ganapathi Nagara</t>
  </si>
  <si>
    <t>074-18-000021</t>
  </si>
  <si>
    <t>Construction of RCC Sump and Improvements to roads and drains at Gruhalakshmi layout and maintenance of Rangamandira at Kuvempu Park in Ward No 74 Shankthiganapathinagar</t>
  </si>
  <si>
    <t>074-17-000001</t>
  </si>
  <si>
    <t>Providing water supply and drilling of borewells in ward no.74</t>
  </si>
  <si>
    <t>074-16-000026</t>
  </si>
  <si>
    <t>Improvements of drain culvert and desilting in 2nd Cross 1st main Kuvempu road from Kuvempu circle ch. 150.00 to ward 74 Border in ward NO.74</t>
  </si>
  <si>
    <t>074-16-000022</t>
  </si>
  <si>
    <t>Construction of RCC drains and Footpath both side of Kamalanagara mainroad from Rajkumar Statue to Kevumpu Circle in Ward no -74 Shankthiganapathinagara (CH:300.00 mtr to 400.00mtrs)</t>
  </si>
  <si>
    <t>074-16-000020</t>
  </si>
  <si>
    <t>Construction of RCC drains and Footpath both side of Kamalanagara mainroad from Rajkumar Statue to Kevumpu Circle in Ward no -74 Shankthiganapathinagara (CH:100.00 mtr to 200.00mtrs)</t>
  </si>
  <si>
    <t>074-16-000034</t>
  </si>
  <si>
    <t>Improvements of drain (Gruhalakshmi Layout) in Ward No. 74</t>
  </si>
  <si>
    <t>074-16-000033</t>
  </si>
  <si>
    <t>Improvements of Drain, footpath, park (BEML) Layout and Gruhalakshmi Layout) in Ward No. 74</t>
  </si>
  <si>
    <t>074-12-000004</t>
  </si>
  <si>
    <t>Construction of Yoga Center at Parks in ward no 74</t>
  </si>
  <si>
    <t>074-16-000036</t>
  </si>
  <si>
    <t>Providing CC road and retaining wall to cross road Near Veteranary Hospital in ward No. 74</t>
  </si>
  <si>
    <t>074-16-000035</t>
  </si>
  <si>
    <t>Providing RCC drain to Cross road Near Veteranary Hospital in ward No. 74</t>
  </si>
  <si>
    <t>074-17-000009</t>
  </si>
  <si>
    <t>Construction of RCC drain with covering slab at 2nd Main from SBI Staff to 1st cross in ward no.74</t>
  </si>
  <si>
    <t>074-17-000008</t>
  </si>
  <si>
    <t>Construction of RCC drain with covering slab at 3rd Cross SBI Staff colony in ward no.74</t>
  </si>
  <si>
    <t>074-17-000007</t>
  </si>
  <si>
    <t>Construction of RCC drain with covering slab at 2nd Cross SBI Staff colony in ward no.74</t>
  </si>
  <si>
    <t>074-17-000006</t>
  </si>
  <si>
    <t>Construction of RCC drain with covering slab at 1st Cross SBI Staff colony in ward no.74</t>
  </si>
  <si>
    <t>074-16-000019</t>
  </si>
  <si>
    <t>Construction of RCC drains and Footpath both side of Kamalanagara mainroad from Rajkumar Statue to Kevumpu Circle in Ward no -74 Shankthiganapathinagara (CH:00.00 mtr to 100.00mtrs)</t>
  </si>
  <si>
    <t>074-16-000021</t>
  </si>
  <si>
    <t>Construction of RCC drains and Footpath both side of Kamalanagara mainroad from Rajkumar Statue to Kevumpu Circle in Ward no -74 Shankthiganapathinagara (CH:200.00 mtr to 300.00mtrs)</t>
  </si>
  <si>
    <t>074-18-000022</t>
  </si>
  <si>
    <t>Construction of toilet Block and other development works in Kuvempu Park in ward No 74</t>
  </si>
  <si>
    <t>074-16-000012</t>
  </si>
  <si>
    <t>Engaging Tractor, Labour, JCB for Maintanace of roads and drains (Silt and Tractor) in Ward No. 74</t>
  </si>
  <si>
    <t>074-17-000005</t>
  </si>
  <si>
    <t>Construction of RCC drain with covering slab at 3rd main NHCS Layout in ward no.74</t>
  </si>
  <si>
    <t>074-17-000003</t>
  </si>
  <si>
    <t>Construction of RCC drain with covering slab at 2nd main NHCS Layout in ward no.74</t>
  </si>
  <si>
    <t>074-17-000004</t>
  </si>
  <si>
    <t>Construction of RCC drain with covering slab at 1st G main from 1st main to Narasimha murthy house NHCS Layout in ward no.74</t>
  </si>
  <si>
    <t>074-17-000002</t>
  </si>
  <si>
    <t>Construction of RCC drain with covering slab at 1st main NHCS Layout in ward no.74</t>
  </si>
  <si>
    <t>074-17-000024</t>
  </si>
  <si>
    <t xml:space="preserve">Providing CC to cross roads at Chandranagar in ward no 74 Shakthiganapathinagara </t>
  </si>
  <si>
    <t>074-17-000058</t>
  </si>
  <si>
    <t>Construction of Anganawadi building at Sanjayagandhi nagara in ward No.74 Shakthiganapathinagara</t>
  </si>
  <si>
    <t>C.Lokesh</t>
  </si>
  <si>
    <t>074-17-000070</t>
  </si>
  <si>
    <t xml:space="preserve">Providing drinking water works in Ward No 74 in Mahalakshmi lyt Division </t>
  </si>
  <si>
    <t>R.Rathna,</t>
  </si>
  <si>
    <t>074-16-000001</t>
  </si>
  <si>
    <t>Annual Operation And maintenance Of Street Lights at Shakthiganapathinagara and Vrushabhavathi nagara in Ward No-74 and 102</t>
  </si>
  <si>
    <t>Electrolines</t>
  </si>
  <si>
    <t>074-17-000033</t>
  </si>
  <si>
    <t>Improvements to drain at 2nd 3rd 4th and 5th main of Sy 46 Kamalanagara in ward no 74</t>
  </si>
  <si>
    <t>074-17-000010</t>
  </si>
  <si>
    <t>Construction of RCC drain with covering slab at 1st G Cross balance portion of SBI Staff colony in ward no.74</t>
  </si>
  <si>
    <t>074-17-000032</t>
  </si>
  <si>
    <t>Consultancy services for preparation of DPR for the work of Construction of Ambedkar Bhavan 3rd main Kamalanagara in ward no 74</t>
  </si>
  <si>
    <t>M/s V.S Consultants</t>
  </si>
  <si>
    <t>074-17-000031</t>
  </si>
  <si>
    <t>Consultancy services for preparation of RFP for the work of Construction of Maternity Hospital in ward no 74</t>
  </si>
  <si>
    <t>074-17-000011</t>
  </si>
  <si>
    <t>Providing cc road at 3rd cross Bhuvaneshwari nagara 6th main 3rd cross Sy.no.46 Kamalanagara in ward no.74</t>
  </si>
  <si>
    <t>074-17-000027</t>
  </si>
  <si>
    <t>Construction of RCC drain with covering slab at opposite to Basavanna temple road in ward no 74 Shakthiganapathinagar</t>
  </si>
  <si>
    <t>074-17-000028</t>
  </si>
  <si>
    <t>Construction of RCC drain with covering slab and CC road at 1st cross Kereyangala in ward no 74 Shakthiganapathinagar</t>
  </si>
  <si>
    <t>074-17-000029</t>
  </si>
  <si>
    <t>Construction of RCC drain with covering slab at 2nd cross Kereyangala in ward no 74 Shakthiganapathinagar</t>
  </si>
  <si>
    <t>074-17-000065</t>
  </si>
  <si>
    <t>Providing and fixing of LED Street lights  in Ward No  74 in Mahalakshmi lyt Division</t>
  </si>
  <si>
    <t>Himagiri Sree Electricals</t>
  </si>
  <si>
    <t>074-16-000023</t>
  </si>
  <si>
    <t>RE-construction of steps and CC for cross roads at Vallbhaganapathi temple in Sy no 46 in Ward no -74 Shankthiganapathinagara</t>
  </si>
  <si>
    <t>074-16-000024</t>
  </si>
  <si>
    <t>Providing CC road and Improvement to drains in cross roads infront of basavanna temple in Ward no -74 Shankthiganapathinagara</t>
  </si>
  <si>
    <t>074-17-000079</t>
  </si>
  <si>
    <t>Providing additional GYM equipments to kuvempu park in ward NO.74</t>
  </si>
  <si>
    <t>074-17-000034</t>
  </si>
  <si>
    <t>Improvements to drain at 1st 2nd 3rd 4th and 5th cross road of Sy No 46 Kamalanagar in ward no 74</t>
  </si>
  <si>
    <t>074-18-000008</t>
  </si>
  <si>
    <t>Construction of RCC Drains at 5th cross road Gruhalakshmi layout in  Ward No 74 (W0095)</t>
  </si>
  <si>
    <t>074-18-000009</t>
  </si>
  <si>
    <t>Construction of RCC Drains at 3rd main road Gruhalakshmi layout in Ward no 74(W0097)</t>
  </si>
  <si>
    <t>074-16-000003</t>
  </si>
  <si>
    <t xml:space="preserve">Asphalting in Gruhalakshmi Layout (3 cross roads and 3 main roads) in Ward No. 74 </t>
  </si>
  <si>
    <t>B.B.Umesh</t>
  </si>
  <si>
    <t>Narahari .D (M/s Benaka Developers and Projects Pvt Ltd)</t>
  </si>
  <si>
    <t>Narahari D (M/s Benaka Developers and Projects Pvt Ltd</t>
  </si>
  <si>
    <t>074-18-000056</t>
  </si>
  <si>
    <t xml:space="preserve">Additional works to  Indira Canteen   opposite to BWSSB water tank inWard no-74 Shakthiganapathi nagar.   </t>
  </si>
  <si>
    <t>074-18-000037</t>
  </si>
  <si>
    <t>Desilting of Secondary drains in  ward  no 74</t>
  </si>
  <si>
    <t>074-18-000035</t>
  </si>
  <si>
    <t xml:space="preserve"> U G D works in  ward  no 74</t>
  </si>
  <si>
    <t>074-18-000036</t>
  </si>
  <si>
    <t>Maintenance of footpath and roads in  ward  no 74</t>
  </si>
  <si>
    <t>074-17-000044</t>
  </si>
  <si>
    <t>Improvements of Kuvempu park in ward no 74</t>
  </si>
  <si>
    <t>074-17-000060</t>
  </si>
  <si>
    <t>Construction of culverts  in ward No.74 Shakthiganapathinagara</t>
  </si>
  <si>
    <t>J.G.Ravindra (SrilLakshmi venkateshwara enterprises)</t>
  </si>
  <si>
    <t>074-17-000026</t>
  </si>
  <si>
    <t>Construction of RCC drain with covering slab at 1st B cross and southern side of Basavanna temple Kereyangnala in ward no 74  Shakthiganapathinagar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</si>
</sst>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workbookViewId="0">
      <selection activeCell="A2" sqref="A2:XFD5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75</v>
      </c>
      <c r="B2" s="13" t="s">
        <v>48</v>
      </c>
      <c r="C2" s="13">
        <v>43194</v>
      </c>
      <c r="D2" s="5">
        <v>74</v>
      </c>
      <c r="E2" s="6" t="s">
        <v>79</v>
      </c>
      <c r="F2" s="5" t="s">
        <v>80</v>
      </c>
      <c r="G2" s="6" t="s">
        <v>81</v>
      </c>
      <c r="H2" s="5" t="str">
        <f>"000260"</f>
        <v>000260</v>
      </c>
      <c r="I2" s="4">
        <v>43155</v>
      </c>
      <c r="J2" s="5" t="str">
        <f>"000179"</f>
        <v>000179</v>
      </c>
      <c r="K2" s="4">
        <v>43182</v>
      </c>
      <c r="L2" s="5" t="str">
        <f>"000303"</f>
        <v>000303</v>
      </c>
      <c r="M2" s="4">
        <v>43182</v>
      </c>
      <c r="N2" s="5">
        <v>18</v>
      </c>
      <c r="O2" s="5" t="str">
        <f>"000166"</f>
        <v>000166</v>
      </c>
      <c r="P2" s="4">
        <v>43193</v>
      </c>
      <c r="Q2" s="7">
        <v>24.90868</v>
      </c>
      <c r="R2" s="7">
        <v>2.6199300000000001</v>
      </c>
      <c r="S2" s="7">
        <v>22.28875</v>
      </c>
      <c r="T2" s="5">
        <v>2</v>
      </c>
      <c r="U2" s="4">
        <v>43194</v>
      </c>
      <c r="V2" s="5">
        <v>9900333496</v>
      </c>
      <c r="W2" s="6" t="s">
        <v>67</v>
      </c>
      <c r="X2" s="5" t="s">
        <v>47</v>
      </c>
      <c r="Y2" s="6" t="s">
        <v>46</v>
      </c>
      <c r="Z2" s="5" t="s">
        <v>65</v>
      </c>
      <c r="AA2" s="6" t="s">
        <v>66</v>
      </c>
      <c r="AB2" s="7">
        <v>0.2490868</v>
      </c>
      <c r="AD2" s="8"/>
      <c r="AF2" s="8"/>
      <c r="AG2" s="8"/>
    </row>
    <row r="3" spans="1:33" x14ac:dyDescent="0.2">
      <c r="A3" s="12">
        <v>1122</v>
      </c>
      <c r="B3" s="13" t="s">
        <v>35</v>
      </c>
      <c r="C3" s="13">
        <v>43230</v>
      </c>
      <c r="D3" s="5">
        <v>74</v>
      </c>
      <c r="E3" s="6" t="s">
        <v>79</v>
      </c>
      <c r="F3" s="5" t="s">
        <v>82</v>
      </c>
      <c r="G3" s="6" t="s">
        <v>83</v>
      </c>
      <c r="H3" s="5" t="str">
        <f>"000182"</f>
        <v>000182</v>
      </c>
      <c r="I3" s="4">
        <v>42601</v>
      </c>
      <c r="J3" s="5" t="str">
        <f>"000039"</f>
        <v>000039</v>
      </c>
      <c r="K3" s="4">
        <v>42734</v>
      </c>
      <c r="L3" s="5" t="str">
        <f>"000873"</f>
        <v>000873</v>
      </c>
      <c r="M3" s="4">
        <v>42765</v>
      </c>
      <c r="N3" s="5">
        <v>17</v>
      </c>
      <c r="O3" s="5" t="str">
        <f>"001351"</f>
        <v>001351</v>
      </c>
      <c r="P3" s="4">
        <v>43229</v>
      </c>
      <c r="Q3" s="7">
        <v>28.971589999999999</v>
      </c>
      <c r="R3" s="7">
        <v>4.0349500000000003</v>
      </c>
      <c r="S3" s="7">
        <v>24.936640000000001</v>
      </c>
      <c r="T3" s="5">
        <v>49</v>
      </c>
      <c r="U3" s="4">
        <v>43230</v>
      </c>
      <c r="V3" s="5">
        <v>9900333496</v>
      </c>
      <c r="W3" s="6" t="s">
        <v>67</v>
      </c>
      <c r="X3" s="5" t="s">
        <v>72</v>
      </c>
      <c r="Y3" s="6" t="s">
        <v>73</v>
      </c>
      <c r="Z3" s="5" t="s">
        <v>65</v>
      </c>
      <c r="AA3" s="6" t="s">
        <v>66</v>
      </c>
      <c r="AB3" s="7">
        <v>0.28971589999999997</v>
      </c>
      <c r="AD3" s="8"/>
      <c r="AF3" s="8"/>
      <c r="AG3" s="8"/>
    </row>
    <row r="4" spans="1:33" x14ac:dyDescent="0.2">
      <c r="A4" s="12">
        <v>1186</v>
      </c>
      <c r="B4" s="13" t="s">
        <v>35</v>
      </c>
      <c r="C4" s="13">
        <v>43238</v>
      </c>
      <c r="D4" s="5">
        <v>74</v>
      </c>
      <c r="E4" s="6" t="s">
        <v>79</v>
      </c>
      <c r="F4" s="5" t="s">
        <v>84</v>
      </c>
      <c r="G4" s="6" t="s">
        <v>85</v>
      </c>
      <c r="H4" s="5" t="str">
        <f>"000074"</f>
        <v>000074</v>
      </c>
      <c r="I4" s="4">
        <v>42541</v>
      </c>
      <c r="J4" s="5" t="str">
        <f>"000190"</f>
        <v>000190</v>
      </c>
      <c r="K4" s="4">
        <v>42580</v>
      </c>
      <c r="L4" s="5" t="str">
        <f>"000445"</f>
        <v>000445</v>
      </c>
      <c r="M4" s="4">
        <v>42610</v>
      </c>
      <c r="N4" s="5">
        <v>16</v>
      </c>
      <c r="O4" s="5" t="str">
        <f>"001427"</f>
        <v>001427</v>
      </c>
      <c r="P4" s="4">
        <v>43236</v>
      </c>
      <c r="Q4" s="7">
        <v>19.800830000000001</v>
      </c>
      <c r="R4" s="7">
        <v>2.7395700000000001</v>
      </c>
      <c r="S4" s="7">
        <v>17.061260000000001</v>
      </c>
      <c r="T4" s="5">
        <v>52</v>
      </c>
      <c r="U4" s="4">
        <v>43238</v>
      </c>
      <c r="V4" s="5">
        <v>9900333496</v>
      </c>
      <c r="W4" s="6" t="s">
        <v>70</v>
      </c>
      <c r="X4" s="5" t="s">
        <v>53</v>
      </c>
      <c r="Y4" s="6" t="s">
        <v>52</v>
      </c>
      <c r="Z4" s="5" t="s">
        <v>65</v>
      </c>
      <c r="AA4" s="6" t="s">
        <v>66</v>
      </c>
      <c r="AB4" s="7">
        <v>0.19800830000000003</v>
      </c>
      <c r="AD4" s="8"/>
      <c r="AF4" s="8"/>
      <c r="AG4" s="8"/>
    </row>
    <row r="5" spans="1:33" x14ac:dyDescent="0.2">
      <c r="A5" s="12">
        <v>1796</v>
      </c>
      <c r="B5" s="13" t="s">
        <v>34</v>
      </c>
      <c r="C5" s="13">
        <v>43257</v>
      </c>
      <c r="D5" s="5">
        <v>74</v>
      </c>
      <c r="E5" s="6" t="s">
        <v>79</v>
      </c>
      <c r="F5" s="5" t="s">
        <v>86</v>
      </c>
      <c r="G5" s="6" t="s">
        <v>87</v>
      </c>
      <c r="H5" s="5" t="str">
        <f>"000083"</f>
        <v>000083</v>
      </c>
      <c r="I5" s="4">
        <v>42541</v>
      </c>
      <c r="J5" s="5" t="str">
        <f>"000265"</f>
        <v>000265</v>
      </c>
      <c r="K5" s="4">
        <v>42608</v>
      </c>
      <c r="L5" s="5" t="str">
        <f>"000540"</f>
        <v>000540</v>
      </c>
      <c r="M5" s="4">
        <v>42625</v>
      </c>
      <c r="N5" s="5">
        <v>16</v>
      </c>
      <c r="O5" s="5" t="str">
        <f>"002139"</f>
        <v>002139</v>
      </c>
      <c r="P5" s="4">
        <v>43255</v>
      </c>
      <c r="Q5" s="7">
        <v>19.96631</v>
      </c>
      <c r="R5" s="7">
        <v>2.6679300000000001</v>
      </c>
      <c r="S5" s="7">
        <v>17.298380000000002</v>
      </c>
      <c r="T5" s="5">
        <v>71</v>
      </c>
      <c r="U5" s="4">
        <v>43257</v>
      </c>
      <c r="V5" s="5">
        <v>9900333496</v>
      </c>
      <c r="W5" s="6" t="s">
        <v>67</v>
      </c>
      <c r="X5" s="5" t="s">
        <v>53</v>
      </c>
      <c r="Y5" s="6" t="s">
        <v>52</v>
      </c>
      <c r="Z5" s="5" t="s">
        <v>65</v>
      </c>
      <c r="AA5" s="6" t="s">
        <v>66</v>
      </c>
      <c r="AB5" s="7">
        <v>0.19966310000000001</v>
      </c>
      <c r="AD5" s="8"/>
      <c r="AF5" s="8"/>
      <c r="AG5" s="8"/>
    </row>
    <row r="6" spans="1:33" x14ac:dyDescent="0.2">
      <c r="A6" s="12">
        <v>1797</v>
      </c>
      <c r="B6" s="13" t="s">
        <v>34</v>
      </c>
      <c r="C6" s="13">
        <v>43257</v>
      </c>
      <c r="D6" s="5">
        <v>74</v>
      </c>
      <c r="E6" s="6" t="s">
        <v>79</v>
      </c>
      <c r="F6" s="5" t="s">
        <v>88</v>
      </c>
      <c r="G6" s="6" t="s">
        <v>89</v>
      </c>
      <c r="H6" s="5" t="str">
        <f>"000081"</f>
        <v>000081</v>
      </c>
      <c r="I6" s="4">
        <v>42541</v>
      </c>
      <c r="J6" s="5" t="str">
        <f>"000264"</f>
        <v>000264</v>
      </c>
      <c r="K6" s="4">
        <v>42605</v>
      </c>
      <c r="L6" s="5" t="str">
        <f>"000542"</f>
        <v>000542</v>
      </c>
      <c r="M6" s="4">
        <v>42625</v>
      </c>
      <c r="N6" s="5">
        <v>16</v>
      </c>
      <c r="O6" s="5" t="str">
        <f>"002140"</f>
        <v>002140</v>
      </c>
      <c r="P6" s="4">
        <v>43255</v>
      </c>
      <c r="Q6" s="7">
        <v>19.975940000000001</v>
      </c>
      <c r="R6" s="7">
        <v>2.6717</v>
      </c>
      <c r="S6" s="7">
        <v>17.30424</v>
      </c>
      <c r="T6" s="5">
        <v>71</v>
      </c>
      <c r="U6" s="4">
        <v>43257</v>
      </c>
      <c r="V6" s="5">
        <v>9900333496</v>
      </c>
      <c r="W6" s="6" t="s">
        <v>67</v>
      </c>
      <c r="X6" s="5" t="s">
        <v>53</v>
      </c>
      <c r="Y6" s="6" t="s">
        <v>52</v>
      </c>
      <c r="Z6" s="5" t="s">
        <v>65</v>
      </c>
      <c r="AA6" s="6" t="s">
        <v>66</v>
      </c>
      <c r="AB6" s="7">
        <v>0.1997594</v>
      </c>
      <c r="AD6" s="8"/>
      <c r="AF6" s="8"/>
      <c r="AG6" s="8"/>
    </row>
    <row r="7" spans="1:33" x14ac:dyDescent="0.2">
      <c r="A7" s="12">
        <v>1798</v>
      </c>
      <c r="B7" s="13" t="s">
        <v>34</v>
      </c>
      <c r="C7" s="13">
        <v>43257</v>
      </c>
      <c r="D7" s="5">
        <v>74</v>
      </c>
      <c r="E7" s="6" t="s">
        <v>79</v>
      </c>
      <c r="F7" s="5" t="s">
        <v>90</v>
      </c>
      <c r="G7" s="6" t="s">
        <v>91</v>
      </c>
      <c r="H7" s="5" t="str">
        <f>"000105"</f>
        <v>000105</v>
      </c>
      <c r="I7" s="4">
        <v>42574</v>
      </c>
      <c r="J7" s="5" t="str">
        <f>"000266"</f>
        <v>000266</v>
      </c>
      <c r="K7" s="4">
        <v>42611</v>
      </c>
      <c r="L7" s="5" t="str">
        <f>"000544"</f>
        <v>000544</v>
      </c>
      <c r="M7" s="4">
        <v>42625</v>
      </c>
      <c r="N7" s="5">
        <v>16</v>
      </c>
      <c r="O7" s="5" t="str">
        <f>"002141"</f>
        <v>002141</v>
      </c>
      <c r="P7" s="4">
        <v>43255</v>
      </c>
      <c r="Q7" s="7">
        <v>19.817620000000002</v>
      </c>
      <c r="R7" s="7">
        <v>2.7054299999999998</v>
      </c>
      <c r="S7" s="7">
        <v>17.112189999999998</v>
      </c>
      <c r="T7" s="5">
        <v>71</v>
      </c>
      <c r="U7" s="4">
        <v>43257</v>
      </c>
      <c r="V7" s="5">
        <v>9900333496</v>
      </c>
      <c r="W7" s="6" t="s">
        <v>71</v>
      </c>
      <c r="X7" s="5" t="s">
        <v>72</v>
      </c>
      <c r="Y7" s="6" t="s">
        <v>73</v>
      </c>
      <c r="Z7" s="5" t="s">
        <v>65</v>
      </c>
      <c r="AA7" s="6" t="s">
        <v>66</v>
      </c>
      <c r="AB7" s="7">
        <v>0.19817620000000002</v>
      </c>
      <c r="AD7" s="8"/>
      <c r="AF7" s="8"/>
      <c r="AG7" s="8"/>
    </row>
    <row r="8" spans="1:33" x14ac:dyDescent="0.2">
      <c r="A8" s="12">
        <v>1799</v>
      </c>
      <c r="B8" s="13" t="s">
        <v>34</v>
      </c>
      <c r="C8" s="13">
        <v>43257</v>
      </c>
      <c r="D8" s="5">
        <v>74</v>
      </c>
      <c r="E8" s="6" t="s">
        <v>79</v>
      </c>
      <c r="F8" s="5" t="s">
        <v>92</v>
      </c>
      <c r="G8" s="6" t="s">
        <v>93</v>
      </c>
      <c r="H8" s="5" t="str">
        <f>"000104"</f>
        <v>000104</v>
      </c>
      <c r="I8" s="4">
        <v>42544</v>
      </c>
      <c r="J8" s="5" t="str">
        <f>"000267"</f>
        <v>000267</v>
      </c>
      <c r="K8" s="4">
        <v>42612</v>
      </c>
      <c r="L8" s="5" t="str">
        <f>"000545"</f>
        <v>000545</v>
      </c>
      <c r="M8" s="4">
        <v>42625</v>
      </c>
      <c r="N8" s="5">
        <v>16</v>
      </c>
      <c r="O8" s="5" t="str">
        <f>"002142"</f>
        <v>002142</v>
      </c>
      <c r="P8" s="4">
        <v>43255</v>
      </c>
      <c r="Q8" s="7">
        <v>19.817910000000001</v>
      </c>
      <c r="R8" s="7">
        <v>2.7129699999999999</v>
      </c>
      <c r="S8" s="7">
        <v>17.104939999999999</v>
      </c>
      <c r="T8" s="5">
        <v>71</v>
      </c>
      <c r="U8" s="4">
        <v>43257</v>
      </c>
      <c r="V8" s="5">
        <v>9900333496</v>
      </c>
      <c r="W8" s="6" t="s">
        <v>71</v>
      </c>
      <c r="X8" s="5" t="s">
        <v>72</v>
      </c>
      <c r="Y8" s="6" t="s">
        <v>73</v>
      </c>
      <c r="Z8" s="5" t="s">
        <v>65</v>
      </c>
      <c r="AA8" s="6" t="s">
        <v>66</v>
      </c>
      <c r="AB8" s="7">
        <v>0.19817910000000002</v>
      </c>
      <c r="AD8" s="8"/>
      <c r="AF8" s="8"/>
      <c r="AG8" s="8"/>
    </row>
    <row r="9" spans="1:33" x14ac:dyDescent="0.2">
      <c r="A9" s="12">
        <v>1800</v>
      </c>
      <c r="B9" s="13" t="s">
        <v>34</v>
      </c>
      <c r="C9" s="13">
        <v>43257</v>
      </c>
      <c r="D9" s="5">
        <v>74</v>
      </c>
      <c r="E9" s="6" t="s">
        <v>79</v>
      </c>
      <c r="F9" s="5" t="s">
        <v>94</v>
      </c>
      <c r="G9" s="6" t="s">
        <v>95</v>
      </c>
      <c r="H9" s="5" t="str">
        <f>"000440"</f>
        <v>000440</v>
      </c>
      <c r="I9" s="4">
        <v>41283</v>
      </c>
      <c r="J9" s="5" t="str">
        <f>"000162"</f>
        <v>000162</v>
      </c>
      <c r="K9" s="4">
        <v>42216</v>
      </c>
      <c r="L9" s="5" t="str">
        <f>"000445"</f>
        <v>000445</v>
      </c>
      <c r="M9" s="4">
        <v>42216</v>
      </c>
      <c r="N9" s="5">
        <v>12</v>
      </c>
      <c r="O9" s="5" t="str">
        <f>"006568"</f>
        <v>006568</v>
      </c>
      <c r="P9" s="4">
        <v>42455</v>
      </c>
      <c r="Q9" s="7">
        <v>0.68101</v>
      </c>
      <c r="R9" s="7">
        <v>8.4459999999999993E-2</v>
      </c>
      <c r="S9" s="7">
        <v>0.59655000000000002</v>
      </c>
      <c r="T9" s="5">
        <v>71</v>
      </c>
      <c r="U9" s="4">
        <v>43257</v>
      </c>
      <c r="V9" s="5">
        <v>9986316782</v>
      </c>
      <c r="W9" s="6" t="s">
        <v>74</v>
      </c>
      <c r="X9" s="5" t="s">
        <v>63</v>
      </c>
      <c r="Y9" s="6" t="s">
        <v>64</v>
      </c>
      <c r="Z9" s="5" t="s">
        <v>45</v>
      </c>
      <c r="AA9" s="6" t="s">
        <v>44</v>
      </c>
      <c r="AB9" s="7">
        <v>6.8101000000000004E-3</v>
      </c>
      <c r="AD9" s="8"/>
      <c r="AF9" s="8"/>
      <c r="AG9" s="8"/>
    </row>
    <row r="10" spans="1:33" x14ac:dyDescent="0.2">
      <c r="A10" s="12">
        <v>2015</v>
      </c>
      <c r="B10" s="13" t="s">
        <v>34</v>
      </c>
      <c r="C10" s="13">
        <v>43262</v>
      </c>
      <c r="D10" s="5">
        <v>74</v>
      </c>
      <c r="E10" s="6" t="s">
        <v>79</v>
      </c>
      <c r="F10" s="5" t="s">
        <v>96</v>
      </c>
      <c r="G10" s="6" t="s">
        <v>97</v>
      </c>
      <c r="H10" s="5" t="str">
        <f>"000107"</f>
        <v>000107</v>
      </c>
      <c r="I10" s="4">
        <v>42544</v>
      </c>
      <c r="J10" s="5" t="str">
        <f>"000288"</f>
        <v>000288</v>
      </c>
      <c r="K10" s="4">
        <v>42610</v>
      </c>
      <c r="L10" s="5" t="str">
        <f>"000618"</f>
        <v>000618</v>
      </c>
      <c r="M10" s="4">
        <v>42632</v>
      </c>
      <c r="N10" s="5">
        <v>16</v>
      </c>
      <c r="O10" s="5" t="str">
        <f>"002299"</f>
        <v>002299</v>
      </c>
      <c r="P10" s="4">
        <v>43258</v>
      </c>
      <c r="Q10" s="7">
        <v>19.817499999999999</v>
      </c>
      <c r="R10" s="7">
        <v>2.70092</v>
      </c>
      <c r="S10" s="7">
        <v>17.116579999999999</v>
      </c>
      <c r="T10" s="5">
        <v>80</v>
      </c>
      <c r="U10" s="4">
        <v>43262</v>
      </c>
      <c r="V10" s="5">
        <v>9900333496</v>
      </c>
      <c r="W10" s="6" t="s">
        <v>67</v>
      </c>
      <c r="X10" s="5" t="s">
        <v>72</v>
      </c>
      <c r="Y10" s="6" t="s">
        <v>73</v>
      </c>
      <c r="Z10" s="5" t="s">
        <v>65</v>
      </c>
      <c r="AA10" s="6" t="s">
        <v>66</v>
      </c>
      <c r="AB10" s="7">
        <v>0.19817499999999999</v>
      </c>
      <c r="AD10" s="8"/>
      <c r="AF10" s="8"/>
      <c r="AG10" s="8"/>
    </row>
    <row r="11" spans="1:33" x14ac:dyDescent="0.2">
      <c r="A11" s="12">
        <v>2016</v>
      </c>
      <c r="B11" s="13" t="s">
        <v>34</v>
      </c>
      <c r="C11" s="13">
        <v>43262</v>
      </c>
      <c r="D11" s="5">
        <v>74</v>
      </c>
      <c r="E11" s="6" t="s">
        <v>79</v>
      </c>
      <c r="F11" s="5" t="s">
        <v>98</v>
      </c>
      <c r="G11" s="6" t="s">
        <v>99</v>
      </c>
      <c r="H11" s="5" t="str">
        <f>"000106"</f>
        <v>000106</v>
      </c>
      <c r="I11" s="4">
        <v>42544</v>
      </c>
      <c r="J11" s="5" t="str">
        <f>"000287"</f>
        <v>000287</v>
      </c>
      <c r="K11" s="4">
        <v>42585</v>
      </c>
      <c r="L11" s="5" t="str">
        <f>"000619"</f>
        <v>000619</v>
      </c>
      <c r="M11" s="4">
        <v>42632</v>
      </c>
      <c r="N11" s="5">
        <v>16</v>
      </c>
      <c r="O11" s="5" t="str">
        <f>"002301"</f>
        <v>002301</v>
      </c>
      <c r="P11" s="4">
        <v>43258</v>
      </c>
      <c r="Q11" s="7">
        <v>19.785710000000002</v>
      </c>
      <c r="R11" s="7">
        <v>2.7390699999999999</v>
      </c>
      <c r="S11" s="7">
        <v>17.04664</v>
      </c>
      <c r="T11" s="5">
        <v>80</v>
      </c>
      <c r="U11" s="4">
        <v>43262</v>
      </c>
      <c r="V11" s="5">
        <v>9900333496</v>
      </c>
      <c r="W11" s="6" t="s">
        <v>67</v>
      </c>
      <c r="X11" s="5" t="s">
        <v>72</v>
      </c>
      <c r="Y11" s="6" t="s">
        <v>73</v>
      </c>
      <c r="Z11" s="5" t="s">
        <v>65</v>
      </c>
      <c r="AA11" s="6" t="s">
        <v>66</v>
      </c>
      <c r="AB11" s="7">
        <v>0.19785710000000001</v>
      </c>
      <c r="AD11" s="8"/>
      <c r="AF11" s="8"/>
      <c r="AG11" s="8"/>
    </row>
    <row r="12" spans="1:33" x14ac:dyDescent="0.2">
      <c r="A12" s="12">
        <v>2017</v>
      </c>
      <c r="B12" s="13" t="s">
        <v>34</v>
      </c>
      <c r="C12" s="13">
        <v>43262</v>
      </c>
      <c r="D12" s="5">
        <v>74</v>
      </c>
      <c r="E12" s="6" t="s">
        <v>79</v>
      </c>
      <c r="F12" s="5" t="s">
        <v>100</v>
      </c>
      <c r="G12" s="6" t="s">
        <v>101</v>
      </c>
      <c r="H12" s="5" t="str">
        <f>"000190"</f>
        <v>000190</v>
      </c>
      <c r="I12" s="4">
        <v>42601</v>
      </c>
      <c r="J12" s="5" t="str">
        <f>"000292"</f>
        <v>000292</v>
      </c>
      <c r="K12" s="4">
        <v>42611</v>
      </c>
      <c r="L12" s="5" t="str">
        <f>"000623"</f>
        <v>000623</v>
      </c>
      <c r="M12" s="4">
        <v>42633</v>
      </c>
      <c r="N12" s="5">
        <v>17</v>
      </c>
      <c r="O12" s="5" t="str">
        <f>"002304"</f>
        <v>002304</v>
      </c>
      <c r="P12" s="4">
        <v>43258</v>
      </c>
      <c r="Q12" s="7">
        <v>27.73132</v>
      </c>
      <c r="R12" s="7">
        <v>3.9371499999999999</v>
      </c>
      <c r="S12" s="7">
        <v>23.794170000000001</v>
      </c>
      <c r="T12" s="5">
        <v>80</v>
      </c>
      <c r="U12" s="4">
        <v>43262</v>
      </c>
      <c r="V12" s="5">
        <v>9900333496</v>
      </c>
      <c r="W12" s="6" t="s">
        <v>67</v>
      </c>
      <c r="X12" s="5" t="s">
        <v>72</v>
      </c>
      <c r="Y12" s="6" t="s">
        <v>73</v>
      </c>
      <c r="Z12" s="5" t="s">
        <v>65</v>
      </c>
      <c r="AA12" s="6" t="s">
        <v>66</v>
      </c>
      <c r="AB12" s="7">
        <v>0.27731319999999998</v>
      </c>
      <c r="AD12" s="8"/>
      <c r="AF12" s="8"/>
      <c r="AG12" s="8"/>
    </row>
    <row r="13" spans="1:33" x14ac:dyDescent="0.2">
      <c r="A13" s="12">
        <v>2018</v>
      </c>
      <c r="B13" s="13" t="s">
        <v>34</v>
      </c>
      <c r="C13" s="13">
        <v>43262</v>
      </c>
      <c r="D13" s="5">
        <v>74</v>
      </c>
      <c r="E13" s="6" t="s">
        <v>79</v>
      </c>
      <c r="F13" s="5" t="s">
        <v>102</v>
      </c>
      <c r="G13" s="6" t="s">
        <v>103</v>
      </c>
      <c r="H13" s="5" t="str">
        <f>"000189"</f>
        <v>000189</v>
      </c>
      <c r="I13" s="4">
        <v>42601</v>
      </c>
      <c r="J13" s="5" t="str">
        <f>"000291"</f>
        <v>000291</v>
      </c>
      <c r="K13" s="4">
        <v>42611</v>
      </c>
      <c r="L13" s="5" t="str">
        <f>"000624"</f>
        <v>000624</v>
      </c>
      <c r="M13" s="4">
        <v>42633</v>
      </c>
      <c r="N13" s="5">
        <v>17</v>
      </c>
      <c r="O13" s="5" t="str">
        <f>"002305"</f>
        <v>002305</v>
      </c>
      <c r="P13" s="4">
        <v>43258</v>
      </c>
      <c r="Q13" s="7">
        <v>27.976590000000002</v>
      </c>
      <c r="R13" s="7">
        <v>3.9490500000000002</v>
      </c>
      <c r="S13" s="7">
        <v>24.027539999999998</v>
      </c>
      <c r="T13" s="5">
        <v>80</v>
      </c>
      <c r="U13" s="4">
        <v>43262</v>
      </c>
      <c r="V13" s="5">
        <v>9900333496</v>
      </c>
      <c r="W13" s="6" t="s">
        <v>67</v>
      </c>
      <c r="X13" s="5" t="s">
        <v>72</v>
      </c>
      <c r="Y13" s="6" t="s">
        <v>73</v>
      </c>
      <c r="Z13" s="5" t="s">
        <v>65</v>
      </c>
      <c r="AA13" s="6" t="s">
        <v>66</v>
      </c>
      <c r="AB13" s="7">
        <v>0.27976590000000001</v>
      </c>
      <c r="AD13" s="8"/>
      <c r="AF13" s="8"/>
      <c r="AG13" s="8"/>
    </row>
    <row r="14" spans="1:33" x14ac:dyDescent="0.2">
      <c r="A14" s="12">
        <v>2019</v>
      </c>
      <c r="B14" s="13" t="s">
        <v>34</v>
      </c>
      <c r="C14" s="13">
        <v>43262</v>
      </c>
      <c r="D14" s="5">
        <v>74</v>
      </c>
      <c r="E14" s="6" t="s">
        <v>79</v>
      </c>
      <c r="F14" s="5" t="s">
        <v>104</v>
      </c>
      <c r="G14" s="6" t="s">
        <v>105</v>
      </c>
      <c r="H14" s="5" t="str">
        <f>"000188"</f>
        <v>000188</v>
      </c>
      <c r="I14" s="4">
        <v>42601</v>
      </c>
      <c r="J14" s="5" t="str">
        <f>"000290"</f>
        <v>000290</v>
      </c>
      <c r="K14" s="4">
        <v>42611</v>
      </c>
      <c r="L14" s="5" t="str">
        <f>"000625"</f>
        <v>000625</v>
      </c>
      <c r="M14" s="4">
        <v>42633</v>
      </c>
      <c r="N14" s="5">
        <v>17</v>
      </c>
      <c r="O14" s="5" t="str">
        <f>"002306"</f>
        <v>002306</v>
      </c>
      <c r="P14" s="4">
        <v>43258</v>
      </c>
      <c r="Q14" s="7">
        <v>27.70947</v>
      </c>
      <c r="R14" s="7">
        <v>3.8934000000000002</v>
      </c>
      <c r="S14" s="7">
        <v>23.81607</v>
      </c>
      <c r="T14" s="5">
        <v>80</v>
      </c>
      <c r="U14" s="4">
        <v>43262</v>
      </c>
      <c r="V14" s="5">
        <v>9900333496</v>
      </c>
      <c r="W14" s="6" t="s">
        <v>71</v>
      </c>
      <c r="X14" s="5" t="s">
        <v>72</v>
      </c>
      <c r="Y14" s="6" t="s">
        <v>73</v>
      </c>
      <c r="Z14" s="5" t="s">
        <v>65</v>
      </c>
      <c r="AA14" s="6" t="s">
        <v>66</v>
      </c>
      <c r="AB14" s="7">
        <v>0.27709469999999997</v>
      </c>
      <c r="AD14" s="8"/>
      <c r="AF14" s="8"/>
      <c r="AG14" s="8"/>
    </row>
    <row r="15" spans="1:33" x14ac:dyDescent="0.2">
      <c r="A15" s="12">
        <v>2020</v>
      </c>
      <c r="B15" s="13" t="s">
        <v>34</v>
      </c>
      <c r="C15" s="13">
        <v>43262</v>
      </c>
      <c r="D15" s="5">
        <v>74</v>
      </c>
      <c r="E15" s="6" t="s">
        <v>79</v>
      </c>
      <c r="F15" s="5" t="s">
        <v>106</v>
      </c>
      <c r="G15" s="6" t="s">
        <v>107</v>
      </c>
      <c r="H15" s="5" t="str">
        <f>"000187"</f>
        <v>000187</v>
      </c>
      <c r="I15" s="4">
        <v>42601</v>
      </c>
      <c r="J15" s="5" t="str">
        <f>"000293"</f>
        <v>000293</v>
      </c>
      <c r="K15" s="4">
        <v>42617</v>
      </c>
      <c r="L15" s="5" t="str">
        <f>"000626"</f>
        <v>000626</v>
      </c>
      <c r="M15" s="4">
        <v>42633</v>
      </c>
      <c r="N15" s="5">
        <v>17</v>
      </c>
      <c r="O15" s="5" t="str">
        <f>"002307"</f>
        <v>002307</v>
      </c>
      <c r="P15" s="4">
        <v>43258</v>
      </c>
      <c r="Q15" s="7">
        <v>27.96059</v>
      </c>
      <c r="R15" s="7">
        <v>3.9670299999999998</v>
      </c>
      <c r="S15" s="7">
        <v>23.993559999999999</v>
      </c>
      <c r="T15" s="5">
        <v>80</v>
      </c>
      <c r="U15" s="4">
        <v>43262</v>
      </c>
      <c r="V15" s="5">
        <v>9900333496</v>
      </c>
      <c r="W15" s="6" t="s">
        <v>67</v>
      </c>
      <c r="X15" s="5" t="s">
        <v>72</v>
      </c>
      <c r="Y15" s="6" t="s">
        <v>73</v>
      </c>
      <c r="Z15" s="5" t="s">
        <v>65</v>
      </c>
      <c r="AA15" s="6" t="s">
        <v>66</v>
      </c>
      <c r="AB15" s="7">
        <v>0.27960590000000002</v>
      </c>
      <c r="AD15" s="8"/>
      <c r="AF15" s="8"/>
      <c r="AG15" s="8"/>
    </row>
    <row r="16" spans="1:33" x14ac:dyDescent="0.2">
      <c r="A16" s="12">
        <v>2304</v>
      </c>
      <c r="B16" s="13" t="s">
        <v>34</v>
      </c>
      <c r="C16" s="13">
        <v>43269</v>
      </c>
      <c r="D16" s="5">
        <v>74</v>
      </c>
      <c r="E16" s="6" t="s">
        <v>79</v>
      </c>
      <c r="F16" s="5" t="s">
        <v>108</v>
      </c>
      <c r="G16" s="6" t="s">
        <v>109</v>
      </c>
      <c r="H16" s="5" t="str">
        <f>"000080"</f>
        <v>000080</v>
      </c>
      <c r="I16" s="4">
        <v>42541</v>
      </c>
      <c r="J16" s="5" t="str">
        <f>"000262"</f>
        <v>000262</v>
      </c>
      <c r="K16" s="4">
        <v>42604</v>
      </c>
      <c r="L16" s="5" t="str">
        <f>"000543"</f>
        <v>000543</v>
      </c>
      <c r="M16" s="4">
        <v>42625</v>
      </c>
      <c r="N16" s="5">
        <v>16</v>
      </c>
      <c r="O16" s="5" t="str">
        <f>"002347"</f>
        <v>002347</v>
      </c>
      <c r="P16" s="4">
        <v>43262</v>
      </c>
      <c r="Q16" s="7">
        <v>19.969480000000001</v>
      </c>
      <c r="R16" s="7">
        <v>2.66717</v>
      </c>
      <c r="S16" s="7">
        <v>17.302309999999999</v>
      </c>
      <c r="T16" s="5">
        <v>90</v>
      </c>
      <c r="U16" s="4">
        <v>43269</v>
      </c>
      <c r="V16" s="5">
        <v>9900333496</v>
      </c>
      <c r="W16" s="6" t="s">
        <v>67</v>
      </c>
      <c r="X16" s="5" t="s">
        <v>53</v>
      </c>
      <c r="Y16" s="6" t="s">
        <v>52</v>
      </c>
      <c r="Z16" s="5" t="s">
        <v>65</v>
      </c>
      <c r="AA16" s="6" t="s">
        <v>66</v>
      </c>
      <c r="AB16" s="7">
        <v>0.19969480000000001</v>
      </c>
      <c r="AD16" s="8"/>
      <c r="AF16" s="8"/>
      <c r="AG16" s="8"/>
    </row>
    <row r="17" spans="1:33" x14ac:dyDescent="0.2">
      <c r="A17" s="12">
        <v>2547</v>
      </c>
      <c r="B17" s="13" t="s">
        <v>34</v>
      </c>
      <c r="C17" s="13">
        <v>43274</v>
      </c>
      <c r="D17" s="5">
        <v>74</v>
      </c>
      <c r="E17" s="6" t="s">
        <v>79</v>
      </c>
      <c r="F17" s="5" t="s">
        <v>110</v>
      </c>
      <c r="G17" s="6" t="s">
        <v>111</v>
      </c>
      <c r="H17" s="5" t="str">
        <f>"000082"</f>
        <v>000082</v>
      </c>
      <c r="I17" s="4">
        <v>42541</v>
      </c>
      <c r="J17" s="5" t="str">
        <f>"000263"</f>
        <v>000263</v>
      </c>
      <c r="K17" s="4">
        <v>42606</v>
      </c>
      <c r="L17" s="5" t="str">
        <f>"000541"</f>
        <v>000541</v>
      </c>
      <c r="M17" s="4">
        <v>42625</v>
      </c>
      <c r="N17" s="5">
        <v>16</v>
      </c>
      <c r="O17" s="5" t="str">
        <f>"002632"</f>
        <v>002632</v>
      </c>
      <c r="P17" s="4">
        <v>43269</v>
      </c>
      <c r="Q17" s="7">
        <v>19.997540000000001</v>
      </c>
      <c r="R17" s="7">
        <v>2.6732</v>
      </c>
      <c r="S17" s="7">
        <v>17.324339999999999</v>
      </c>
      <c r="T17" s="5">
        <v>99</v>
      </c>
      <c r="U17" s="4">
        <v>43274</v>
      </c>
      <c r="V17" s="5">
        <v>9900333496</v>
      </c>
      <c r="W17" s="6" t="s">
        <v>67</v>
      </c>
      <c r="X17" s="5" t="s">
        <v>53</v>
      </c>
      <c r="Y17" s="6" t="s">
        <v>52</v>
      </c>
      <c r="Z17" s="5" t="s">
        <v>65</v>
      </c>
      <c r="AA17" s="6" t="s">
        <v>66</v>
      </c>
      <c r="AB17" s="7">
        <v>0.1999754</v>
      </c>
      <c r="AD17" s="8"/>
      <c r="AF17" s="8"/>
      <c r="AG17" s="8"/>
    </row>
    <row r="18" spans="1:33" x14ac:dyDescent="0.2">
      <c r="A18" s="12">
        <v>2852</v>
      </c>
      <c r="B18" s="13" t="s">
        <v>31</v>
      </c>
      <c r="C18" s="13">
        <v>43283</v>
      </c>
      <c r="D18" s="5">
        <v>74</v>
      </c>
      <c r="E18" s="6" t="s">
        <v>79</v>
      </c>
      <c r="F18" s="5" t="s">
        <v>112</v>
      </c>
      <c r="G18" s="6" t="s">
        <v>113</v>
      </c>
      <c r="H18" s="5" t="str">
        <f>"000261"</f>
        <v>000261</v>
      </c>
      <c r="I18" s="4">
        <v>43155</v>
      </c>
      <c r="J18" s="5" t="str">
        <f>"000048"</f>
        <v>000048</v>
      </c>
      <c r="K18" s="4">
        <v>43263</v>
      </c>
      <c r="L18" s="5" t="str">
        <f>"000089"</f>
        <v>000089</v>
      </c>
      <c r="M18" s="4">
        <v>43264</v>
      </c>
      <c r="N18" s="5">
        <v>18</v>
      </c>
      <c r="O18" s="5" t="str">
        <f>"003074"</f>
        <v>003074</v>
      </c>
      <c r="P18" s="4">
        <v>43279</v>
      </c>
      <c r="Q18" s="7">
        <v>24.993359999999999</v>
      </c>
      <c r="R18" s="7">
        <v>2.42957</v>
      </c>
      <c r="S18" s="7">
        <v>22.563790000000001</v>
      </c>
      <c r="T18" s="5">
        <v>104</v>
      </c>
      <c r="U18" s="4">
        <v>43283</v>
      </c>
      <c r="V18" s="5">
        <v>9900333496</v>
      </c>
      <c r="W18" s="6" t="s">
        <v>67</v>
      </c>
      <c r="X18" s="5" t="s">
        <v>47</v>
      </c>
      <c r="Y18" s="6" t="s">
        <v>46</v>
      </c>
      <c r="Z18" s="5" t="s">
        <v>65</v>
      </c>
      <c r="AA18" s="6" t="s">
        <v>66</v>
      </c>
      <c r="AB18" s="7">
        <v>0.24993359999999998</v>
      </c>
      <c r="AD18" s="8"/>
      <c r="AF18" s="8"/>
      <c r="AG18" s="8"/>
    </row>
    <row r="19" spans="1:33" x14ac:dyDescent="0.2">
      <c r="A19" s="12">
        <v>2853</v>
      </c>
      <c r="B19" s="13" t="s">
        <v>31</v>
      </c>
      <c r="C19" s="13">
        <v>43283</v>
      </c>
      <c r="D19" s="5">
        <v>74</v>
      </c>
      <c r="E19" s="6" t="s">
        <v>79</v>
      </c>
      <c r="F19" s="5" t="s">
        <v>114</v>
      </c>
      <c r="G19" s="6" t="s">
        <v>115</v>
      </c>
      <c r="H19" s="5" t="str">
        <f>"000008"</f>
        <v>000008</v>
      </c>
      <c r="I19" s="4">
        <v>42496</v>
      </c>
      <c r="J19" s="5" t="str">
        <f>"000180"</f>
        <v>000180</v>
      </c>
      <c r="K19" s="4">
        <v>42551</v>
      </c>
      <c r="L19" s="5" t="str">
        <f>"000411"</f>
        <v>000411</v>
      </c>
      <c r="M19" s="4">
        <v>42580</v>
      </c>
      <c r="N19" s="5">
        <v>16</v>
      </c>
      <c r="O19" s="5" t="str">
        <f>"009624"</f>
        <v>009624</v>
      </c>
      <c r="P19" s="4">
        <v>43138</v>
      </c>
      <c r="Q19" s="7">
        <v>1.00606</v>
      </c>
      <c r="R19" s="7">
        <v>0.11167000000000001</v>
      </c>
      <c r="S19" s="7">
        <v>0.89439000000000002</v>
      </c>
      <c r="T19" s="5">
        <v>108</v>
      </c>
      <c r="U19" s="4">
        <v>43283</v>
      </c>
      <c r="V19" s="5">
        <v>0</v>
      </c>
      <c r="W19" s="6" t="s">
        <v>78</v>
      </c>
      <c r="X19" s="5" t="s">
        <v>29</v>
      </c>
      <c r="Y19" s="6" t="s">
        <v>30</v>
      </c>
      <c r="Z19" s="5" t="s">
        <v>65</v>
      </c>
      <c r="AA19" s="6" t="s">
        <v>66</v>
      </c>
      <c r="AB19" s="7">
        <v>1.0060599999999999E-2</v>
      </c>
      <c r="AD19" s="8"/>
      <c r="AF19" s="8"/>
      <c r="AG19" s="8"/>
    </row>
    <row r="20" spans="1:33" x14ac:dyDescent="0.2">
      <c r="A20" s="12">
        <v>2854</v>
      </c>
      <c r="B20" s="13" t="s">
        <v>31</v>
      </c>
      <c r="C20" s="13">
        <v>43283</v>
      </c>
      <c r="D20" s="5">
        <v>74</v>
      </c>
      <c r="E20" s="6" t="s">
        <v>79</v>
      </c>
      <c r="F20" s="5" t="s">
        <v>114</v>
      </c>
      <c r="G20" s="6" t="s">
        <v>115</v>
      </c>
      <c r="H20" s="5" t="str">
        <f>"000008"</f>
        <v>000008</v>
      </c>
      <c r="I20" s="4">
        <v>42496</v>
      </c>
      <c r="J20" s="5" t="str">
        <f>"000180"</f>
        <v>000180</v>
      </c>
      <c r="K20" s="4">
        <v>42551</v>
      </c>
      <c r="L20" s="5" t="str">
        <f>"000411"</f>
        <v>000411</v>
      </c>
      <c r="M20" s="4">
        <v>42580</v>
      </c>
      <c r="N20" s="5">
        <v>16</v>
      </c>
      <c r="O20" s="5" t="str">
        <f>"009624"</f>
        <v>009624</v>
      </c>
      <c r="P20" s="4">
        <v>43138</v>
      </c>
      <c r="Q20" s="7">
        <v>1.6161799999999999</v>
      </c>
      <c r="R20" s="7">
        <v>0.17938000000000001</v>
      </c>
      <c r="S20" s="7">
        <v>1.4368000000000001</v>
      </c>
      <c r="T20" s="5">
        <v>108</v>
      </c>
      <c r="U20" s="4">
        <v>43283</v>
      </c>
      <c r="V20" s="5">
        <v>0</v>
      </c>
      <c r="W20" s="6" t="s">
        <v>78</v>
      </c>
      <c r="X20" s="5" t="s">
        <v>29</v>
      </c>
      <c r="Y20" s="6" t="s">
        <v>30</v>
      </c>
      <c r="Z20" s="5" t="s">
        <v>65</v>
      </c>
      <c r="AA20" s="6" t="s">
        <v>66</v>
      </c>
      <c r="AB20" s="7">
        <v>1.61618E-2</v>
      </c>
      <c r="AD20" s="8"/>
      <c r="AF20" s="8"/>
      <c r="AG20" s="8"/>
    </row>
    <row r="21" spans="1:33" x14ac:dyDescent="0.2">
      <c r="A21" s="12">
        <v>3159</v>
      </c>
      <c r="B21" s="13" t="s">
        <v>31</v>
      </c>
      <c r="C21" s="13">
        <v>43290</v>
      </c>
      <c r="D21" s="5">
        <v>74</v>
      </c>
      <c r="E21" s="6" t="s">
        <v>79</v>
      </c>
      <c r="F21" s="5" t="s">
        <v>116</v>
      </c>
      <c r="G21" s="6" t="s">
        <v>117</v>
      </c>
      <c r="H21" s="5" t="str">
        <f>"000186"</f>
        <v>000186</v>
      </c>
      <c r="I21" s="4">
        <v>42601</v>
      </c>
      <c r="J21" s="5" t="str">
        <f>"000361"</f>
        <v>000361</v>
      </c>
      <c r="K21" s="4">
        <v>42721</v>
      </c>
      <c r="L21" s="5" t="str">
        <f>"000770"</f>
        <v>000770</v>
      </c>
      <c r="M21" s="4">
        <v>42721</v>
      </c>
      <c r="N21" s="5">
        <v>17</v>
      </c>
      <c r="O21" s="5" t="str">
        <f>"003412"</f>
        <v>003412</v>
      </c>
      <c r="P21" s="4">
        <v>43288</v>
      </c>
      <c r="Q21" s="7">
        <v>22.775500000000001</v>
      </c>
      <c r="R21" s="7">
        <v>3.16547</v>
      </c>
      <c r="S21" s="7">
        <v>19.610029999999998</v>
      </c>
      <c r="T21" s="5">
        <v>117</v>
      </c>
      <c r="U21" s="4">
        <v>43290</v>
      </c>
      <c r="V21" s="5">
        <v>9900333496</v>
      </c>
      <c r="W21" s="6" t="s">
        <v>71</v>
      </c>
      <c r="X21" s="5" t="s">
        <v>72</v>
      </c>
      <c r="Y21" s="6" t="s">
        <v>73</v>
      </c>
      <c r="Z21" s="5" t="s">
        <v>65</v>
      </c>
      <c r="AA21" s="6" t="s">
        <v>66</v>
      </c>
      <c r="AB21" s="7">
        <v>0.22775500000000001</v>
      </c>
      <c r="AD21" s="8"/>
      <c r="AF21" s="8"/>
      <c r="AG21" s="8"/>
    </row>
    <row r="22" spans="1:33" x14ac:dyDescent="0.2">
      <c r="A22" s="12">
        <v>3160</v>
      </c>
      <c r="B22" s="13" t="s">
        <v>31</v>
      </c>
      <c r="C22" s="13">
        <v>43290</v>
      </c>
      <c r="D22" s="5">
        <v>74</v>
      </c>
      <c r="E22" s="6" t="s">
        <v>79</v>
      </c>
      <c r="F22" s="5" t="s">
        <v>118</v>
      </c>
      <c r="G22" s="6" t="s">
        <v>119</v>
      </c>
      <c r="H22" s="5" t="str">
        <f>"000184"</f>
        <v>000184</v>
      </c>
      <c r="I22" s="4">
        <v>42601</v>
      </c>
      <c r="J22" s="5" t="str">
        <f>"000363"</f>
        <v>000363</v>
      </c>
      <c r="K22" s="4">
        <v>42721</v>
      </c>
      <c r="L22" s="5" t="str">
        <f>"000771"</f>
        <v>000771</v>
      </c>
      <c r="M22" s="4">
        <v>42721</v>
      </c>
      <c r="N22" s="5">
        <v>17</v>
      </c>
      <c r="O22" s="5" t="str">
        <f>"003413"</f>
        <v>003413</v>
      </c>
      <c r="P22" s="4">
        <v>43288</v>
      </c>
      <c r="Q22" s="7">
        <v>29.667380000000001</v>
      </c>
      <c r="R22" s="7">
        <v>4.1244800000000001</v>
      </c>
      <c r="S22" s="7">
        <v>25.542899999999999</v>
      </c>
      <c r="T22" s="5">
        <v>117</v>
      </c>
      <c r="U22" s="4">
        <v>43290</v>
      </c>
      <c r="V22" s="5">
        <v>9900333496</v>
      </c>
      <c r="W22" s="6" t="s">
        <v>70</v>
      </c>
      <c r="X22" s="5" t="s">
        <v>72</v>
      </c>
      <c r="Y22" s="6" t="s">
        <v>73</v>
      </c>
      <c r="Z22" s="5" t="s">
        <v>65</v>
      </c>
      <c r="AA22" s="6" t="s">
        <v>66</v>
      </c>
      <c r="AB22" s="7">
        <v>0.29667379999999999</v>
      </c>
      <c r="AD22" s="8"/>
      <c r="AF22" s="8"/>
      <c r="AG22" s="8"/>
    </row>
    <row r="23" spans="1:33" x14ac:dyDescent="0.2">
      <c r="A23" s="12">
        <v>3161</v>
      </c>
      <c r="B23" s="13" t="s">
        <v>31</v>
      </c>
      <c r="C23" s="13">
        <v>43290</v>
      </c>
      <c r="D23" s="5">
        <v>74</v>
      </c>
      <c r="E23" s="6" t="s">
        <v>79</v>
      </c>
      <c r="F23" s="5" t="s">
        <v>120</v>
      </c>
      <c r="G23" s="6" t="s">
        <v>121</v>
      </c>
      <c r="H23" s="5" t="str">
        <f>"000185"</f>
        <v>000185</v>
      </c>
      <c r="I23" s="4">
        <v>42601</v>
      </c>
      <c r="J23" s="5" t="str">
        <f>"000360"</f>
        <v>000360</v>
      </c>
      <c r="K23" s="4">
        <v>42721</v>
      </c>
      <c r="L23" s="5" t="str">
        <f>"000772"</f>
        <v>000772</v>
      </c>
      <c r="M23" s="4">
        <v>42721</v>
      </c>
      <c r="N23" s="5">
        <v>17</v>
      </c>
      <c r="O23" s="5" t="str">
        <f>"003414"</f>
        <v>003414</v>
      </c>
      <c r="P23" s="4">
        <v>43288</v>
      </c>
      <c r="Q23" s="7">
        <v>11.84934</v>
      </c>
      <c r="R23" s="7">
        <v>1.59731</v>
      </c>
      <c r="S23" s="7">
        <v>10.25203</v>
      </c>
      <c r="T23" s="5">
        <v>117</v>
      </c>
      <c r="U23" s="4">
        <v>43290</v>
      </c>
      <c r="V23" s="5">
        <v>9900333496</v>
      </c>
      <c r="W23" s="6" t="s">
        <v>71</v>
      </c>
      <c r="X23" s="5" t="s">
        <v>72</v>
      </c>
      <c r="Y23" s="6" t="s">
        <v>73</v>
      </c>
      <c r="Z23" s="5" t="s">
        <v>65</v>
      </c>
      <c r="AA23" s="6" t="s">
        <v>66</v>
      </c>
      <c r="AB23" s="7">
        <v>0.1184934</v>
      </c>
      <c r="AD23" s="8"/>
      <c r="AF23" s="8"/>
      <c r="AG23" s="8"/>
    </row>
    <row r="24" spans="1:33" x14ac:dyDescent="0.2">
      <c r="A24" s="12">
        <v>3162</v>
      </c>
      <c r="B24" s="13" t="s">
        <v>31</v>
      </c>
      <c r="C24" s="13">
        <v>43290</v>
      </c>
      <c r="D24" s="5">
        <v>74</v>
      </c>
      <c r="E24" s="6" t="s">
        <v>79</v>
      </c>
      <c r="F24" s="5" t="s">
        <v>122</v>
      </c>
      <c r="G24" s="6" t="s">
        <v>123</v>
      </c>
      <c r="H24" s="5" t="str">
        <f>"000183"</f>
        <v>000183</v>
      </c>
      <c r="I24" s="4">
        <v>42601</v>
      </c>
      <c r="J24" s="5" t="str">
        <f>"000362"</f>
        <v>000362</v>
      </c>
      <c r="K24" s="4">
        <v>42721</v>
      </c>
      <c r="L24" s="5" t="str">
        <f>"000773"</f>
        <v>000773</v>
      </c>
      <c r="M24" s="4">
        <v>42721</v>
      </c>
      <c r="N24" s="5">
        <v>17</v>
      </c>
      <c r="O24" s="5" t="str">
        <f>"003415"</f>
        <v>003415</v>
      </c>
      <c r="P24" s="4">
        <v>43288</v>
      </c>
      <c r="Q24" s="7">
        <v>26.262119999999999</v>
      </c>
      <c r="R24" s="7">
        <v>3.6493699999999998</v>
      </c>
      <c r="S24" s="7">
        <v>22.612749999999998</v>
      </c>
      <c r="T24" s="5">
        <v>117</v>
      </c>
      <c r="U24" s="4">
        <v>43290</v>
      </c>
      <c r="V24" s="5">
        <v>9900333496</v>
      </c>
      <c r="W24" s="6" t="s">
        <v>70</v>
      </c>
      <c r="X24" s="5" t="s">
        <v>72</v>
      </c>
      <c r="Y24" s="6" t="s">
        <v>73</v>
      </c>
      <c r="Z24" s="5" t="s">
        <v>65</v>
      </c>
      <c r="AA24" s="6" t="s">
        <v>66</v>
      </c>
      <c r="AB24" s="7">
        <v>0.2626212</v>
      </c>
      <c r="AD24" s="8"/>
      <c r="AF24" s="8"/>
      <c r="AG24" s="8"/>
    </row>
    <row r="25" spans="1:33" x14ac:dyDescent="0.2">
      <c r="A25" s="12">
        <v>3294</v>
      </c>
      <c r="B25" s="13" t="s">
        <v>31</v>
      </c>
      <c r="C25" s="13">
        <v>43297</v>
      </c>
      <c r="D25" s="5">
        <v>74</v>
      </c>
      <c r="E25" s="6" t="s">
        <v>79</v>
      </c>
      <c r="F25" s="5" t="s">
        <v>124</v>
      </c>
      <c r="G25" s="6" t="s">
        <v>125</v>
      </c>
      <c r="H25" s="5" t="str">
        <f>"000349"</f>
        <v>000349</v>
      </c>
      <c r="I25" s="4">
        <v>42690</v>
      </c>
      <c r="J25" s="5" t="str">
        <f>"000379"</f>
        <v>000379</v>
      </c>
      <c r="K25" s="4">
        <v>42735</v>
      </c>
      <c r="L25" s="5" t="str">
        <f>"000795"</f>
        <v>000795</v>
      </c>
      <c r="M25" s="4">
        <v>42735</v>
      </c>
      <c r="N25" s="5">
        <v>17</v>
      </c>
      <c r="O25" s="5" t="str">
        <f>"003673"</f>
        <v>003673</v>
      </c>
      <c r="P25" s="4">
        <v>43293</v>
      </c>
      <c r="Q25" s="7">
        <v>14.828290000000001</v>
      </c>
      <c r="R25" s="7">
        <v>2.0192299999999999</v>
      </c>
      <c r="S25" s="7">
        <v>12.809060000000001</v>
      </c>
      <c r="T25" s="5">
        <v>125</v>
      </c>
      <c r="U25" s="4">
        <v>43297</v>
      </c>
      <c r="V25" s="5">
        <v>9900333496</v>
      </c>
      <c r="W25" s="6" t="s">
        <v>70</v>
      </c>
      <c r="X25" s="5" t="s">
        <v>55</v>
      </c>
      <c r="Y25" s="6" t="s">
        <v>54</v>
      </c>
      <c r="Z25" s="5" t="s">
        <v>65</v>
      </c>
      <c r="AA25" s="6" t="s">
        <v>66</v>
      </c>
      <c r="AB25" s="7">
        <v>0.1482829</v>
      </c>
      <c r="AD25" s="8"/>
      <c r="AF25" s="8"/>
      <c r="AG25" s="8"/>
    </row>
    <row r="26" spans="1:33" x14ac:dyDescent="0.2">
      <c r="A26" s="12">
        <v>3511</v>
      </c>
      <c r="B26" s="13" t="s">
        <v>31</v>
      </c>
      <c r="C26" s="13">
        <v>43299</v>
      </c>
      <c r="D26" s="5">
        <v>74</v>
      </c>
      <c r="E26" s="6" t="s">
        <v>79</v>
      </c>
      <c r="F26" s="5" t="s">
        <v>126</v>
      </c>
      <c r="G26" s="6" t="s">
        <v>127</v>
      </c>
      <c r="H26" s="5" t="str">
        <f>"000478"</f>
        <v>000478</v>
      </c>
      <c r="I26" s="4">
        <v>42803</v>
      </c>
      <c r="J26" s="5" t="str">
        <f>"000003"</f>
        <v>000003</v>
      </c>
      <c r="K26" s="4">
        <v>42952</v>
      </c>
      <c r="L26" s="5" t="str">
        <f>"000007"</f>
        <v>000007</v>
      </c>
      <c r="M26" s="4">
        <v>42952</v>
      </c>
      <c r="N26" s="5">
        <v>17</v>
      </c>
      <c r="O26" s="5" t="str">
        <f>"003803"</f>
        <v>003803</v>
      </c>
      <c r="P26" s="4">
        <v>43294</v>
      </c>
      <c r="Q26" s="7">
        <v>18.09965</v>
      </c>
      <c r="R26" s="7">
        <v>1.2363999999999999</v>
      </c>
      <c r="S26" s="7">
        <v>16.863250000000001</v>
      </c>
      <c r="T26" s="5">
        <v>129</v>
      </c>
      <c r="U26" s="4">
        <v>43299</v>
      </c>
      <c r="V26" s="5">
        <v>9448615567</v>
      </c>
      <c r="W26" s="6" t="s">
        <v>128</v>
      </c>
      <c r="X26" s="5" t="s">
        <v>29</v>
      </c>
      <c r="Y26" s="6" t="s">
        <v>30</v>
      </c>
      <c r="Z26" s="5" t="s">
        <v>65</v>
      </c>
      <c r="AA26" s="6" t="s">
        <v>66</v>
      </c>
      <c r="AB26" s="7">
        <v>0.1809965</v>
      </c>
      <c r="AD26" s="8"/>
      <c r="AF26" s="8"/>
      <c r="AG26" s="8"/>
    </row>
    <row r="27" spans="1:33" x14ac:dyDescent="0.2">
      <c r="A27" s="12">
        <v>3676</v>
      </c>
      <c r="B27" s="13" t="s">
        <v>31</v>
      </c>
      <c r="C27" s="13">
        <v>43300</v>
      </c>
      <c r="D27" s="5">
        <v>74</v>
      </c>
      <c r="E27" s="6" t="s">
        <v>79</v>
      </c>
      <c r="F27" s="5" t="s">
        <v>129</v>
      </c>
      <c r="G27" s="6" t="s">
        <v>130</v>
      </c>
      <c r="H27" s="5" t="str">
        <f>"000054"</f>
        <v>000054</v>
      </c>
      <c r="I27" s="4">
        <v>43277</v>
      </c>
      <c r="J27" s="5" t="str">
        <f>"000062"</f>
        <v>000062</v>
      </c>
      <c r="K27" s="4">
        <v>43277</v>
      </c>
      <c r="L27" s="5" t="str">
        <f>"000131"</f>
        <v>000131</v>
      </c>
      <c r="M27" s="4">
        <v>43278</v>
      </c>
      <c r="N27" s="5">
        <v>17</v>
      </c>
      <c r="O27" s="5" t="str">
        <f>"003748"</f>
        <v>003748</v>
      </c>
      <c r="P27" s="4">
        <v>43294</v>
      </c>
      <c r="Q27" s="7">
        <v>13.47</v>
      </c>
      <c r="R27" s="7">
        <v>0.33800000000000002</v>
      </c>
      <c r="S27" s="7">
        <v>13.132</v>
      </c>
      <c r="T27" s="5">
        <v>133</v>
      </c>
      <c r="U27" s="4">
        <v>43300</v>
      </c>
      <c r="V27" s="5">
        <v>7899222863</v>
      </c>
      <c r="W27" s="6" t="s">
        <v>131</v>
      </c>
      <c r="X27" s="5" t="s">
        <v>37</v>
      </c>
      <c r="Y27" s="6" t="s">
        <v>38</v>
      </c>
      <c r="Z27" s="5" t="s">
        <v>65</v>
      </c>
      <c r="AA27" s="6" t="s">
        <v>66</v>
      </c>
      <c r="AB27" s="7">
        <v>0.13470000000000001</v>
      </c>
      <c r="AD27" s="8"/>
      <c r="AF27" s="8"/>
      <c r="AG27" s="8"/>
    </row>
    <row r="28" spans="1:33" x14ac:dyDescent="0.2">
      <c r="A28" s="12">
        <v>3736</v>
      </c>
      <c r="B28" s="13" t="s">
        <v>31</v>
      </c>
      <c r="C28" s="13">
        <v>43301</v>
      </c>
      <c r="D28" s="5">
        <v>74</v>
      </c>
      <c r="E28" s="6" t="s">
        <v>79</v>
      </c>
      <c r="F28" s="5" t="s">
        <v>132</v>
      </c>
      <c r="G28" s="6" t="s">
        <v>133</v>
      </c>
      <c r="H28" s="5" t="str">
        <f>"000013"</f>
        <v>000013</v>
      </c>
      <c r="I28" s="4">
        <v>42933</v>
      </c>
      <c r="J28" s="5" t="str">
        <f>"000088"</f>
        <v>000088</v>
      </c>
      <c r="K28" s="4">
        <v>43150</v>
      </c>
      <c r="L28" s="5" t="str">
        <f>"000116"</f>
        <v>000116</v>
      </c>
      <c r="M28" s="4">
        <v>43150</v>
      </c>
      <c r="N28" s="5">
        <v>16</v>
      </c>
      <c r="O28" s="5" t="str">
        <f>"003948"</f>
        <v>003948</v>
      </c>
      <c r="P28" s="4">
        <v>43299</v>
      </c>
      <c r="Q28" s="7">
        <v>19.211950000000002</v>
      </c>
      <c r="R28" s="7">
        <v>1.94041</v>
      </c>
      <c r="S28" s="7">
        <v>17.271540000000002</v>
      </c>
      <c r="T28" s="5">
        <v>134</v>
      </c>
      <c r="U28" s="4">
        <v>43301</v>
      </c>
      <c r="V28" s="5">
        <v>9916368736</v>
      </c>
      <c r="W28" s="6" t="s">
        <v>134</v>
      </c>
      <c r="X28" s="5" t="s">
        <v>32</v>
      </c>
      <c r="Y28" s="6" t="s">
        <v>33</v>
      </c>
      <c r="Z28" s="5" t="s">
        <v>45</v>
      </c>
      <c r="AA28" s="6" t="s">
        <v>44</v>
      </c>
      <c r="AB28" s="7">
        <v>0.19211950000000003</v>
      </c>
      <c r="AD28" s="8"/>
      <c r="AF28" s="8"/>
      <c r="AG28" s="8"/>
    </row>
    <row r="29" spans="1:33" x14ac:dyDescent="0.2">
      <c r="A29" s="12">
        <v>3912</v>
      </c>
      <c r="B29" s="13" t="s">
        <v>31</v>
      </c>
      <c r="C29" s="13">
        <v>43305</v>
      </c>
      <c r="D29" s="5">
        <v>74</v>
      </c>
      <c r="E29" s="6" t="s">
        <v>79</v>
      </c>
      <c r="F29" s="5" t="s">
        <v>135</v>
      </c>
      <c r="G29" s="6" t="s">
        <v>136</v>
      </c>
      <c r="H29" s="5" t="str">
        <f>"000357"</f>
        <v>000357</v>
      </c>
      <c r="I29" s="4">
        <v>42692</v>
      </c>
      <c r="J29" s="5" t="str">
        <f>"000409"</f>
        <v>000409</v>
      </c>
      <c r="K29" s="4">
        <v>42766</v>
      </c>
      <c r="L29" s="5" t="str">
        <f>"000880"</f>
        <v>000880</v>
      </c>
      <c r="M29" s="4">
        <v>42765</v>
      </c>
      <c r="N29" s="5">
        <v>17</v>
      </c>
      <c r="O29" s="5" t="str">
        <f>"004145"</f>
        <v>004145</v>
      </c>
      <c r="P29" s="4">
        <v>43301</v>
      </c>
      <c r="Q29" s="7">
        <v>23.775659999999998</v>
      </c>
      <c r="R29" s="7">
        <v>3.3447399999999998</v>
      </c>
      <c r="S29" s="7">
        <v>20.43092</v>
      </c>
      <c r="T29" s="5">
        <v>139</v>
      </c>
      <c r="U29" s="4">
        <v>43305</v>
      </c>
      <c r="V29" s="5">
        <v>9900333496</v>
      </c>
      <c r="W29" s="6" t="s">
        <v>70</v>
      </c>
      <c r="X29" s="5" t="s">
        <v>53</v>
      </c>
      <c r="Y29" s="6" t="s">
        <v>52</v>
      </c>
      <c r="Z29" s="5" t="s">
        <v>65</v>
      </c>
      <c r="AA29" s="6" t="s">
        <v>66</v>
      </c>
      <c r="AB29" s="7">
        <v>0.23775659999999998</v>
      </c>
      <c r="AD29" s="8"/>
      <c r="AF29" s="8"/>
      <c r="AG29" s="8"/>
    </row>
    <row r="30" spans="1:33" x14ac:dyDescent="0.2">
      <c r="A30" s="12">
        <v>3913</v>
      </c>
      <c r="B30" s="13" t="s">
        <v>31</v>
      </c>
      <c r="C30" s="13">
        <v>43305</v>
      </c>
      <c r="D30" s="5">
        <v>74</v>
      </c>
      <c r="E30" s="6" t="s">
        <v>79</v>
      </c>
      <c r="F30" s="5" t="s">
        <v>137</v>
      </c>
      <c r="G30" s="6" t="s">
        <v>138</v>
      </c>
      <c r="H30" s="5" t="str">
        <f>"000191"</f>
        <v>000191</v>
      </c>
      <c r="I30" s="4">
        <v>42601</v>
      </c>
      <c r="J30" s="5" t="str">
        <f>"000408"</f>
        <v>000408</v>
      </c>
      <c r="K30" s="4">
        <v>42765</v>
      </c>
      <c r="L30" s="5" t="str">
        <f>"000881"</f>
        <v>000881</v>
      </c>
      <c r="M30" s="4">
        <v>42765</v>
      </c>
      <c r="N30" s="5">
        <v>17</v>
      </c>
      <c r="O30" s="5" t="str">
        <f>"004146"</f>
        <v>004146</v>
      </c>
      <c r="P30" s="4">
        <v>43301</v>
      </c>
      <c r="Q30" s="7">
        <v>14.83756</v>
      </c>
      <c r="R30" s="7">
        <v>2.0730200000000001</v>
      </c>
      <c r="S30" s="7">
        <v>12.76454</v>
      </c>
      <c r="T30" s="5">
        <v>139</v>
      </c>
      <c r="U30" s="4">
        <v>43305</v>
      </c>
      <c r="V30" s="5">
        <v>9900333496</v>
      </c>
      <c r="W30" s="6" t="s">
        <v>49</v>
      </c>
      <c r="X30" s="5" t="s">
        <v>72</v>
      </c>
      <c r="Y30" s="6" t="s">
        <v>73</v>
      </c>
      <c r="Z30" s="5" t="s">
        <v>65</v>
      </c>
      <c r="AA30" s="6" t="s">
        <v>66</v>
      </c>
      <c r="AB30" s="7">
        <v>0.1483756</v>
      </c>
      <c r="AD30" s="8"/>
      <c r="AF30" s="8"/>
      <c r="AG30" s="8"/>
    </row>
    <row r="31" spans="1:33" x14ac:dyDescent="0.2">
      <c r="A31" s="12">
        <v>4342</v>
      </c>
      <c r="B31" s="13" t="s">
        <v>28</v>
      </c>
      <c r="C31" s="13">
        <v>43316</v>
      </c>
      <c r="D31" s="5">
        <v>74</v>
      </c>
      <c r="E31" s="6" t="s">
        <v>79</v>
      </c>
      <c r="F31" s="5" t="s">
        <v>139</v>
      </c>
      <c r="G31" s="6" t="s">
        <v>140</v>
      </c>
      <c r="H31" s="5" t="str">
        <f>"000078"</f>
        <v>000078</v>
      </c>
      <c r="I31" s="4">
        <v>42723</v>
      </c>
      <c r="J31" s="5" t="str">
        <f>"000056"</f>
        <v>000056</v>
      </c>
      <c r="K31" s="4">
        <v>43283</v>
      </c>
      <c r="L31" s="5" t="str">
        <f>"000055"</f>
        <v>000055</v>
      </c>
      <c r="M31" s="4">
        <v>43283</v>
      </c>
      <c r="N31" s="5">
        <v>17</v>
      </c>
      <c r="O31" s="5" t="str">
        <f>"004732"</f>
        <v>004732</v>
      </c>
      <c r="P31" s="4">
        <v>43314</v>
      </c>
      <c r="Q31" s="7">
        <v>0.75</v>
      </c>
      <c r="R31" s="7">
        <v>7.4999999999999997E-2</v>
      </c>
      <c r="S31" s="7">
        <v>0.67500000000000004</v>
      </c>
      <c r="T31" s="5">
        <v>155</v>
      </c>
      <c r="U31" s="4">
        <v>43316</v>
      </c>
      <c r="V31" s="5">
        <v>9844024123</v>
      </c>
      <c r="W31" s="6" t="s">
        <v>141</v>
      </c>
      <c r="X31" s="5" t="s">
        <v>47</v>
      </c>
      <c r="Y31" s="6" t="s">
        <v>46</v>
      </c>
      <c r="Z31" s="5" t="s">
        <v>68</v>
      </c>
      <c r="AA31" s="6" t="s">
        <v>69</v>
      </c>
      <c r="AB31" s="7">
        <v>7.4999999999999997E-3</v>
      </c>
      <c r="AD31" s="8"/>
      <c r="AF31" s="8"/>
      <c r="AG31" s="8"/>
    </row>
    <row r="32" spans="1:33" x14ac:dyDescent="0.2">
      <c r="A32" s="12">
        <v>4343</v>
      </c>
      <c r="B32" s="13" t="s">
        <v>28</v>
      </c>
      <c r="C32" s="13">
        <v>43316</v>
      </c>
      <c r="D32" s="5">
        <v>74</v>
      </c>
      <c r="E32" s="6" t="s">
        <v>79</v>
      </c>
      <c r="F32" s="5" t="s">
        <v>142</v>
      </c>
      <c r="G32" s="6" t="s">
        <v>143</v>
      </c>
      <c r="H32" s="5" t="str">
        <f>"000082"</f>
        <v>000082</v>
      </c>
      <c r="I32" s="4">
        <v>42723</v>
      </c>
      <c r="J32" s="5" t="str">
        <f>"000055"</f>
        <v>000055</v>
      </c>
      <c r="K32" s="4">
        <v>43283</v>
      </c>
      <c r="L32" s="5" t="str">
        <f>"000054"</f>
        <v>000054</v>
      </c>
      <c r="M32" s="4">
        <v>43283</v>
      </c>
      <c r="N32" s="5">
        <v>17</v>
      </c>
      <c r="O32" s="5" t="str">
        <f>"004733"</f>
        <v>004733</v>
      </c>
      <c r="P32" s="4">
        <v>43314</v>
      </c>
      <c r="Q32" s="7">
        <v>1.5</v>
      </c>
      <c r="R32" s="7">
        <v>0.15</v>
      </c>
      <c r="S32" s="7">
        <v>1.35</v>
      </c>
      <c r="T32" s="5">
        <v>155</v>
      </c>
      <c r="U32" s="4">
        <v>43316</v>
      </c>
      <c r="V32" s="5">
        <v>9844024123</v>
      </c>
      <c r="W32" s="6" t="s">
        <v>77</v>
      </c>
      <c r="X32" s="5" t="s">
        <v>47</v>
      </c>
      <c r="Y32" s="6" t="s">
        <v>46</v>
      </c>
      <c r="Z32" s="5" t="s">
        <v>68</v>
      </c>
      <c r="AA32" s="6" t="s">
        <v>69</v>
      </c>
      <c r="AB32" s="7">
        <v>1.4999999999999999E-2</v>
      </c>
      <c r="AD32" s="8"/>
      <c r="AF32" s="8"/>
      <c r="AG32" s="8"/>
    </row>
    <row r="33" spans="1:33" x14ac:dyDescent="0.2">
      <c r="A33" s="12">
        <v>4472</v>
      </c>
      <c r="B33" s="13" t="s">
        <v>28</v>
      </c>
      <c r="C33" s="13">
        <v>43318</v>
      </c>
      <c r="D33" s="5">
        <v>74</v>
      </c>
      <c r="E33" s="6" t="s">
        <v>79</v>
      </c>
      <c r="F33" s="5" t="s">
        <v>144</v>
      </c>
      <c r="G33" s="6" t="s">
        <v>145</v>
      </c>
      <c r="H33" s="5" t="str">
        <f>"000192"</f>
        <v>000192</v>
      </c>
      <c r="I33" s="4">
        <v>42601</v>
      </c>
      <c r="J33" s="5" t="str">
        <f>"000413"</f>
        <v>000413</v>
      </c>
      <c r="K33" s="4">
        <v>42769</v>
      </c>
      <c r="L33" s="5" t="str">
        <f>"000882"</f>
        <v>000882</v>
      </c>
      <c r="M33" s="4">
        <v>42770</v>
      </c>
      <c r="N33" s="5">
        <v>17</v>
      </c>
      <c r="O33" s="5" t="str">
        <f>"004627"</f>
        <v>004627</v>
      </c>
      <c r="P33" s="4">
        <v>43313</v>
      </c>
      <c r="Q33" s="7">
        <v>31.16442</v>
      </c>
      <c r="R33" s="7">
        <v>4.4592200000000002</v>
      </c>
      <c r="S33" s="7">
        <v>26.705200000000001</v>
      </c>
      <c r="T33" s="5">
        <v>159</v>
      </c>
      <c r="U33" s="4">
        <v>43318</v>
      </c>
      <c r="V33" s="5">
        <v>9900333496</v>
      </c>
      <c r="W33" s="6" t="s">
        <v>71</v>
      </c>
      <c r="X33" s="5" t="s">
        <v>72</v>
      </c>
      <c r="Y33" s="6" t="s">
        <v>73</v>
      </c>
      <c r="Z33" s="5" t="s">
        <v>65</v>
      </c>
      <c r="AA33" s="6" t="s">
        <v>66</v>
      </c>
      <c r="AB33" s="7">
        <v>0.31164419999999998</v>
      </c>
      <c r="AD33" s="8"/>
      <c r="AF33" s="8"/>
      <c r="AG33" s="8"/>
    </row>
    <row r="34" spans="1:33" x14ac:dyDescent="0.2">
      <c r="A34" s="12">
        <v>4473</v>
      </c>
      <c r="B34" s="13" t="s">
        <v>28</v>
      </c>
      <c r="C34" s="13">
        <v>43318</v>
      </c>
      <c r="D34" s="5">
        <v>74</v>
      </c>
      <c r="E34" s="6" t="s">
        <v>79</v>
      </c>
      <c r="F34" s="5" t="s">
        <v>146</v>
      </c>
      <c r="G34" s="6" t="s">
        <v>147</v>
      </c>
      <c r="H34" s="5" t="str">
        <f>"000352"</f>
        <v>000352</v>
      </c>
      <c r="I34" s="4">
        <v>42690</v>
      </c>
      <c r="J34" s="5" t="str">
        <f>"000401"</f>
        <v>000401</v>
      </c>
      <c r="K34" s="4">
        <v>42762</v>
      </c>
      <c r="L34" s="5" t="str">
        <f>"000913"</f>
        <v>000913</v>
      </c>
      <c r="M34" s="4">
        <v>42793</v>
      </c>
      <c r="N34" s="5">
        <v>17</v>
      </c>
      <c r="O34" s="5" t="str">
        <f>"004647"</f>
        <v>004647</v>
      </c>
      <c r="P34" s="4">
        <v>43313</v>
      </c>
      <c r="Q34" s="7">
        <v>17.805579999999999</v>
      </c>
      <c r="R34" s="7">
        <v>2.45947</v>
      </c>
      <c r="S34" s="7">
        <v>15.346109999999999</v>
      </c>
      <c r="T34" s="5">
        <v>159</v>
      </c>
      <c r="U34" s="4">
        <v>43318</v>
      </c>
      <c r="V34" s="5">
        <v>9900333496</v>
      </c>
      <c r="W34" s="6" t="s">
        <v>67</v>
      </c>
      <c r="X34" s="5" t="s">
        <v>55</v>
      </c>
      <c r="Y34" s="6" t="s">
        <v>54</v>
      </c>
      <c r="Z34" s="5" t="s">
        <v>65</v>
      </c>
      <c r="AA34" s="6" t="s">
        <v>66</v>
      </c>
      <c r="AB34" s="7">
        <v>0.17805579999999999</v>
      </c>
      <c r="AD34" s="8"/>
      <c r="AF34" s="8"/>
      <c r="AG34" s="8"/>
    </row>
    <row r="35" spans="1:33" x14ac:dyDescent="0.2">
      <c r="A35" s="12">
        <v>4474</v>
      </c>
      <c r="B35" s="13" t="s">
        <v>28</v>
      </c>
      <c r="C35" s="13">
        <v>43318</v>
      </c>
      <c r="D35" s="5">
        <v>74</v>
      </c>
      <c r="E35" s="6" t="s">
        <v>79</v>
      </c>
      <c r="F35" s="5" t="s">
        <v>148</v>
      </c>
      <c r="G35" s="6" t="s">
        <v>149</v>
      </c>
      <c r="H35" s="5" t="str">
        <f>"000353"</f>
        <v>000353</v>
      </c>
      <c r="I35" s="4">
        <v>42690</v>
      </c>
      <c r="J35" s="5" t="str">
        <f>"000402"</f>
        <v>000402</v>
      </c>
      <c r="K35" s="4">
        <v>42762</v>
      </c>
      <c r="L35" s="5" t="str">
        <f>"000914"</f>
        <v>000914</v>
      </c>
      <c r="M35" s="4">
        <v>42793</v>
      </c>
      <c r="N35" s="5">
        <v>17</v>
      </c>
      <c r="O35" s="5" t="str">
        <f>"004648"</f>
        <v>004648</v>
      </c>
      <c r="P35" s="4">
        <v>43313</v>
      </c>
      <c r="Q35" s="7">
        <v>11.888579999999999</v>
      </c>
      <c r="R35" s="7">
        <v>1.6505099999999999</v>
      </c>
      <c r="S35" s="7">
        <v>10.23807</v>
      </c>
      <c r="T35" s="5">
        <v>159</v>
      </c>
      <c r="U35" s="4">
        <v>43318</v>
      </c>
      <c r="V35" s="5">
        <v>9900333496</v>
      </c>
      <c r="W35" s="6" t="s">
        <v>67</v>
      </c>
      <c r="X35" s="5" t="s">
        <v>55</v>
      </c>
      <c r="Y35" s="6" t="s">
        <v>54</v>
      </c>
      <c r="Z35" s="5" t="s">
        <v>65</v>
      </c>
      <c r="AA35" s="6" t="s">
        <v>66</v>
      </c>
      <c r="AB35" s="7">
        <v>0.11888579999999999</v>
      </c>
      <c r="AD35" s="8"/>
      <c r="AF35" s="8"/>
      <c r="AG35" s="8"/>
    </row>
    <row r="36" spans="1:33" x14ac:dyDescent="0.2">
      <c r="A36" s="12">
        <v>4475</v>
      </c>
      <c r="B36" s="13" t="s">
        <v>28</v>
      </c>
      <c r="C36" s="13">
        <v>43318</v>
      </c>
      <c r="D36" s="5">
        <v>74</v>
      </c>
      <c r="E36" s="6" t="s">
        <v>79</v>
      </c>
      <c r="F36" s="5" t="s">
        <v>150</v>
      </c>
      <c r="G36" s="6" t="s">
        <v>151</v>
      </c>
      <c r="H36" s="5" t="str">
        <f>"000354"</f>
        <v>000354</v>
      </c>
      <c r="I36" s="4">
        <v>42690</v>
      </c>
      <c r="J36" s="5" t="str">
        <f>"000403"</f>
        <v>000403</v>
      </c>
      <c r="K36" s="4">
        <v>42751</v>
      </c>
      <c r="L36" s="5" t="str">
        <f>"000915"</f>
        <v>000915</v>
      </c>
      <c r="M36" s="4">
        <v>42793</v>
      </c>
      <c r="N36" s="5">
        <v>17</v>
      </c>
      <c r="O36" s="5" t="str">
        <f>"004649"</f>
        <v>004649</v>
      </c>
      <c r="P36" s="4">
        <v>43313</v>
      </c>
      <c r="Q36" s="7">
        <v>19.758649999999999</v>
      </c>
      <c r="R36" s="7">
        <v>2.6978</v>
      </c>
      <c r="S36" s="7">
        <v>17.060849999999999</v>
      </c>
      <c r="T36" s="5">
        <v>159</v>
      </c>
      <c r="U36" s="4">
        <v>43318</v>
      </c>
      <c r="V36" s="5">
        <v>9900333496</v>
      </c>
      <c r="W36" s="6" t="s">
        <v>67</v>
      </c>
      <c r="X36" s="5" t="s">
        <v>55</v>
      </c>
      <c r="Y36" s="6" t="s">
        <v>54</v>
      </c>
      <c r="Z36" s="5" t="s">
        <v>65</v>
      </c>
      <c r="AA36" s="6" t="s">
        <v>66</v>
      </c>
      <c r="AB36" s="7">
        <v>0.1975865</v>
      </c>
      <c r="AD36" s="8"/>
      <c r="AF36" s="8"/>
      <c r="AG36" s="8"/>
    </row>
    <row r="37" spans="1:33" x14ac:dyDescent="0.2">
      <c r="A37" s="12">
        <v>5246</v>
      </c>
      <c r="B37" s="13" t="s">
        <v>36</v>
      </c>
      <c r="C37" s="13">
        <v>43346</v>
      </c>
      <c r="D37" s="5">
        <v>74</v>
      </c>
      <c r="E37" s="6" t="s">
        <v>79</v>
      </c>
      <c r="F37" s="5" t="s">
        <v>152</v>
      </c>
      <c r="G37" s="6" t="s">
        <v>153</v>
      </c>
      <c r="H37" s="5" t="str">
        <f>"000066"</f>
        <v>000066</v>
      </c>
      <c r="I37" s="4">
        <v>43036</v>
      </c>
      <c r="J37" s="5" t="str">
        <f>"000043"</f>
        <v>000043</v>
      </c>
      <c r="K37" s="4">
        <v>43300</v>
      </c>
      <c r="L37" s="5" t="str">
        <f>"000042"</f>
        <v>000042</v>
      </c>
      <c r="M37" s="4">
        <v>43300</v>
      </c>
      <c r="N37" s="5">
        <v>17</v>
      </c>
      <c r="O37" s="5" t="str">
        <f>"005589"</f>
        <v>005589</v>
      </c>
      <c r="P37" s="4">
        <v>43343</v>
      </c>
      <c r="Q37" s="7">
        <v>5.6344000000000003</v>
      </c>
      <c r="R37" s="7">
        <v>0.49906</v>
      </c>
      <c r="S37" s="7">
        <v>5.1353400000000002</v>
      </c>
      <c r="T37" s="5">
        <v>186</v>
      </c>
      <c r="U37" s="4">
        <v>43346</v>
      </c>
      <c r="V37" s="5">
        <v>9845273024</v>
      </c>
      <c r="W37" s="6" t="s">
        <v>154</v>
      </c>
      <c r="X37" s="5" t="s">
        <v>37</v>
      </c>
      <c r="Y37" s="6" t="s">
        <v>38</v>
      </c>
      <c r="Z37" s="5" t="s">
        <v>45</v>
      </c>
      <c r="AA37" s="6" t="s">
        <v>44</v>
      </c>
      <c r="AB37" s="7">
        <f>Q37/100</f>
        <v>5.6344000000000005E-2</v>
      </c>
      <c r="AD37" s="8"/>
      <c r="AF37" s="8"/>
      <c r="AG37" s="8"/>
    </row>
    <row r="38" spans="1:33" x14ac:dyDescent="0.2">
      <c r="A38" s="12">
        <v>5247</v>
      </c>
      <c r="B38" s="13" t="s">
        <v>36</v>
      </c>
      <c r="C38" s="13">
        <v>43346</v>
      </c>
      <c r="D38" s="5">
        <v>74</v>
      </c>
      <c r="E38" s="6" t="s">
        <v>79</v>
      </c>
      <c r="F38" s="5" t="s">
        <v>155</v>
      </c>
      <c r="G38" s="6" t="s">
        <v>156</v>
      </c>
      <c r="H38" s="5" t="str">
        <f>"000146"</f>
        <v>000146</v>
      </c>
      <c r="I38" s="4">
        <v>42550</v>
      </c>
      <c r="J38" s="5" t="str">
        <f>"000508"</f>
        <v>000508</v>
      </c>
      <c r="K38" s="4">
        <v>42825</v>
      </c>
      <c r="L38" s="5" t="str">
        <f>"001067"</f>
        <v>001067</v>
      </c>
      <c r="M38" s="4">
        <v>42825</v>
      </c>
      <c r="N38" s="5">
        <v>16</v>
      </c>
      <c r="O38" s="5" t="str">
        <f>"005469"</f>
        <v>005469</v>
      </c>
      <c r="P38" s="4">
        <v>43340</v>
      </c>
      <c r="Q38" s="7">
        <v>9.3305500000000006</v>
      </c>
      <c r="R38" s="7">
        <v>1.4373199999999999</v>
      </c>
      <c r="S38" s="7">
        <v>7.89323</v>
      </c>
      <c r="T38" s="5">
        <v>193</v>
      </c>
      <c r="U38" s="4">
        <v>43346</v>
      </c>
      <c r="V38" s="5">
        <v>9900333496</v>
      </c>
      <c r="W38" s="6" t="s">
        <v>67</v>
      </c>
      <c r="X38" s="5" t="s">
        <v>53</v>
      </c>
      <c r="Y38" s="6" t="s">
        <v>52</v>
      </c>
      <c r="Z38" s="5" t="s">
        <v>65</v>
      </c>
      <c r="AA38" s="6" t="s">
        <v>66</v>
      </c>
      <c r="AB38" s="7">
        <f>Q38/100</f>
        <v>9.33055E-2</v>
      </c>
      <c r="AD38" s="8"/>
      <c r="AF38" s="8"/>
      <c r="AG38" s="8"/>
    </row>
    <row r="39" spans="1:33" x14ac:dyDescent="0.2">
      <c r="A39" s="12">
        <v>5248</v>
      </c>
      <c r="B39" s="13" t="s">
        <v>36</v>
      </c>
      <c r="C39" s="13">
        <v>43346</v>
      </c>
      <c r="D39" s="5">
        <v>74</v>
      </c>
      <c r="E39" s="6" t="s">
        <v>79</v>
      </c>
      <c r="F39" s="5" t="s">
        <v>157</v>
      </c>
      <c r="G39" s="6" t="s">
        <v>158</v>
      </c>
      <c r="H39" s="5" t="str">
        <f>"000084"</f>
        <v>000084</v>
      </c>
      <c r="I39" s="4">
        <v>42541</v>
      </c>
      <c r="J39" s="5" t="str">
        <f>"000507"</f>
        <v>000507</v>
      </c>
      <c r="K39" s="4">
        <v>42824</v>
      </c>
      <c r="L39" s="5" t="str">
        <f>"001068"</f>
        <v>001068</v>
      </c>
      <c r="M39" s="4">
        <v>42825</v>
      </c>
      <c r="N39" s="5">
        <v>16</v>
      </c>
      <c r="O39" s="5" t="str">
        <f>"005470"</f>
        <v>005470</v>
      </c>
      <c r="P39" s="4">
        <v>43340</v>
      </c>
      <c r="Q39" s="7">
        <v>9.8492300000000004</v>
      </c>
      <c r="R39" s="7">
        <v>1.4343399999999999</v>
      </c>
      <c r="S39" s="7">
        <v>8.4148899999999998</v>
      </c>
      <c r="T39" s="5">
        <v>193</v>
      </c>
      <c r="U39" s="4">
        <v>43346</v>
      </c>
      <c r="V39" s="5">
        <v>9900333496</v>
      </c>
      <c r="W39" s="6" t="s">
        <v>67</v>
      </c>
      <c r="X39" s="5" t="s">
        <v>53</v>
      </c>
      <c r="Y39" s="6" t="s">
        <v>52</v>
      </c>
      <c r="Z39" s="5" t="s">
        <v>65</v>
      </c>
      <c r="AA39" s="6" t="s">
        <v>66</v>
      </c>
      <c r="AB39" s="7">
        <f>Q39/100</f>
        <v>9.8492300000000005E-2</v>
      </c>
      <c r="AD39" s="8"/>
      <c r="AF39" s="8"/>
      <c r="AG39" s="8"/>
    </row>
    <row r="40" spans="1:33" x14ac:dyDescent="0.2">
      <c r="A40" s="12">
        <v>6093</v>
      </c>
      <c r="B40" s="13" t="s">
        <v>43</v>
      </c>
      <c r="C40" s="13">
        <v>43385</v>
      </c>
      <c r="D40" s="5">
        <v>74</v>
      </c>
      <c r="E40" s="6" t="s">
        <v>79</v>
      </c>
      <c r="F40" s="5" t="s">
        <v>159</v>
      </c>
      <c r="G40" s="6" t="s">
        <v>160</v>
      </c>
      <c r="H40" s="5" t="str">
        <f>"000088"</f>
        <v>000088</v>
      </c>
      <c r="I40" s="4">
        <v>42913</v>
      </c>
      <c r="J40" s="5" t="str">
        <f>"000043"</f>
        <v>000043</v>
      </c>
      <c r="K40" s="4">
        <v>43004</v>
      </c>
      <c r="L40" s="5" t="str">
        <f>"000070"</f>
        <v>000070</v>
      </c>
      <c r="M40" s="4">
        <v>43005</v>
      </c>
      <c r="N40" s="5">
        <v>17</v>
      </c>
      <c r="O40" s="5" t="str">
        <f>"006181"</f>
        <v>006181</v>
      </c>
      <c r="P40" s="4">
        <v>43377</v>
      </c>
      <c r="Q40" s="7">
        <v>19.990159999999999</v>
      </c>
      <c r="R40" s="7">
        <v>2.6188099999999999</v>
      </c>
      <c r="S40" s="7">
        <v>17.37135</v>
      </c>
      <c r="T40" s="5">
        <v>229</v>
      </c>
      <c r="U40" s="4">
        <v>43385</v>
      </c>
      <c r="V40" s="5">
        <v>9900333496</v>
      </c>
      <c r="W40" s="6" t="s">
        <v>67</v>
      </c>
      <c r="X40" s="5" t="s">
        <v>51</v>
      </c>
      <c r="Y40" s="6" t="s">
        <v>50</v>
      </c>
      <c r="Z40" s="5" t="s">
        <v>65</v>
      </c>
      <c r="AA40" s="6" t="s">
        <v>66</v>
      </c>
      <c r="AB40" s="7">
        <f>Q40/100</f>
        <v>0.19990159999999998</v>
      </c>
      <c r="AD40" s="8"/>
      <c r="AF40" s="8"/>
      <c r="AG40" s="8"/>
    </row>
    <row r="41" spans="1:33" x14ac:dyDescent="0.2">
      <c r="A41" s="12">
        <v>6094</v>
      </c>
      <c r="B41" s="13" t="s">
        <v>43</v>
      </c>
      <c r="C41" s="13">
        <v>43385</v>
      </c>
      <c r="D41" s="5">
        <v>74</v>
      </c>
      <c r="E41" s="6" t="s">
        <v>79</v>
      </c>
      <c r="F41" s="5" t="s">
        <v>161</v>
      </c>
      <c r="G41" s="6" t="s">
        <v>162</v>
      </c>
      <c r="H41" s="5" t="str">
        <f>"000356"</f>
        <v>000356</v>
      </c>
      <c r="I41" s="4">
        <v>42692</v>
      </c>
      <c r="J41" s="5" t="str">
        <f>"000005"</f>
        <v>000005</v>
      </c>
      <c r="K41" s="4">
        <v>42852</v>
      </c>
      <c r="L41" s="5" t="str">
        <f>"000033"</f>
        <v>000033</v>
      </c>
      <c r="M41" s="4">
        <v>42853</v>
      </c>
      <c r="N41" s="5">
        <v>17</v>
      </c>
      <c r="O41" s="5" t="str">
        <f>"006036"</f>
        <v>006036</v>
      </c>
      <c r="P41" s="4">
        <v>43374</v>
      </c>
      <c r="Q41" s="7">
        <v>24.724489999999999</v>
      </c>
      <c r="R41" s="7">
        <v>3.8735300000000001</v>
      </c>
      <c r="S41" s="7">
        <v>20.850960000000001</v>
      </c>
      <c r="T41" s="5">
        <v>230</v>
      </c>
      <c r="U41" s="4">
        <v>43385</v>
      </c>
      <c r="V41" s="5">
        <v>9900333496</v>
      </c>
      <c r="W41" s="6" t="s">
        <v>71</v>
      </c>
      <c r="X41" s="5" t="s">
        <v>53</v>
      </c>
      <c r="Y41" s="6" t="s">
        <v>52</v>
      </c>
      <c r="Z41" s="5" t="s">
        <v>65</v>
      </c>
      <c r="AA41" s="6" t="s">
        <v>66</v>
      </c>
      <c r="AB41" s="7">
        <f>Q41/100</f>
        <v>0.24724489999999999</v>
      </c>
      <c r="AD41" s="8"/>
      <c r="AF41" s="8"/>
      <c r="AG41" s="8"/>
    </row>
    <row r="42" spans="1:33" x14ac:dyDescent="0.2">
      <c r="A42" s="12">
        <v>6851</v>
      </c>
      <c r="B42" s="13" t="s">
        <v>43</v>
      </c>
      <c r="C42" s="13">
        <v>43398</v>
      </c>
      <c r="D42" s="5">
        <v>74</v>
      </c>
      <c r="E42" s="6" t="s">
        <v>79</v>
      </c>
      <c r="F42" s="5" t="s">
        <v>163</v>
      </c>
      <c r="G42" s="6" t="s">
        <v>164</v>
      </c>
      <c r="H42" s="5" t="str">
        <f>"000245"</f>
        <v>000245</v>
      </c>
      <c r="I42" s="4">
        <v>43154</v>
      </c>
      <c r="J42" s="5" t="str">
        <f>"000145"</f>
        <v>000145</v>
      </c>
      <c r="K42" s="4">
        <v>43172</v>
      </c>
      <c r="L42" s="5" t="str">
        <f>"000245"</f>
        <v>000245</v>
      </c>
      <c r="M42" s="4">
        <v>43173</v>
      </c>
      <c r="N42" s="5">
        <v>18</v>
      </c>
      <c r="O42" s="5" t="str">
        <f>"006906"</f>
        <v>006906</v>
      </c>
      <c r="P42" s="4">
        <v>43395</v>
      </c>
      <c r="Q42" s="7">
        <v>19.936340000000001</v>
      </c>
      <c r="R42" s="7">
        <v>2.3515600000000001</v>
      </c>
      <c r="S42" s="7">
        <v>17.584779999999999</v>
      </c>
      <c r="T42" s="5">
        <v>248</v>
      </c>
      <c r="U42" s="4">
        <v>43398</v>
      </c>
      <c r="V42" s="5">
        <v>9900333496</v>
      </c>
      <c r="W42" s="6" t="s">
        <v>67</v>
      </c>
      <c r="X42" s="5" t="s">
        <v>75</v>
      </c>
      <c r="Y42" s="6" t="s">
        <v>76</v>
      </c>
      <c r="Z42" s="5" t="s">
        <v>65</v>
      </c>
      <c r="AA42" s="6" t="s">
        <v>66</v>
      </c>
      <c r="AB42" s="7">
        <f>Q42/100</f>
        <v>0.19936340000000002</v>
      </c>
      <c r="AD42" s="8"/>
      <c r="AF42" s="8"/>
      <c r="AG42" s="8"/>
    </row>
    <row r="43" spans="1:33" x14ac:dyDescent="0.2">
      <c r="A43" s="12">
        <v>6852</v>
      </c>
      <c r="B43" s="13" t="s">
        <v>43</v>
      </c>
      <c r="C43" s="13">
        <v>43398</v>
      </c>
      <c r="D43" s="5">
        <v>74</v>
      </c>
      <c r="E43" s="6" t="s">
        <v>79</v>
      </c>
      <c r="F43" s="5" t="s">
        <v>165</v>
      </c>
      <c r="G43" s="6" t="s">
        <v>166</v>
      </c>
      <c r="H43" s="5" t="str">
        <f>"000241"</f>
        <v>000241</v>
      </c>
      <c r="I43" s="4">
        <v>43154</v>
      </c>
      <c r="J43" s="5" t="str">
        <f>"000147"</f>
        <v>000147</v>
      </c>
      <c r="K43" s="4">
        <v>43172</v>
      </c>
      <c r="L43" s="5" t="str">
        <f>"000246"</f>
        <v>000246</v>
      </c>
      <c r="M43" s="4">
        <v>43173</v>
      </c>
      <c r="N43" s="5">
        <v>18</v>
      </c>
      <c r="O43" s="5" t="str">
        <f>"006907"</f>
        <v>006907</v>
      </c>
      <c r="P43" s="4">
        <v>43395</v>
      </c>
      <c r="Q43" s="7">
        <v>32.942439999999998</v>
      </c>
      <c r="R43" s="7">
        <v>4.0198900000000002</v>
      </c>
      <c r="S43" s="7">
        <v>28.922550000000001</v>
      </c>
      <c r="T43" s="5">
        <v>248</v>
      </c>
      <c r="U43" s="4">
        <v>43398</v>
      </c>
      <c r="V43" s="5">
        <v>9900333496</v>
      </c>
      <c r="W43" s="6" t="s">
        <v>67</v>
      </c>
      <c r="X43" s="5" t="s">
        <v>75</v>
      </c>
      <c r="Y43" s="6" t="s">
        <v>76</v>
      </c>
      <c r="Z43" s="5" t="s">
        <v>65</v>
      </c>
      <c r="AA43" s="6" t="s">
        <v>66</v>
      </c>
      <c r="AB43" s="7">
        <f>Q43/100</f>
        <v>0.32942439999999995</v>
      </c>
      <c r="AD43" s="8"/>
      <c r="AF43" s="8"/>
      <c r="AG43" s="8"/>
    </row>
    <row r="44" spans="1:33" x14ac:dyDescent="0.2">
      <c r="A44" s="12">
        <v>6991</v>
      </c>
      <c r="B44" s="13" t="s">
        <v>43</v>
      </c>
      <c r="C44" s="13">
        <v>43403</v>
      </c>
      <c r="D44" s="5">
        <v>74</v>
      </c>
      <c r="E44" s="6" t="s">
        <v>79</v>
      </c>
      <c r="F44" s="5" t="s">
        <v>167</v>
      </c>
      <c r="G44" s="6" t="s">
        <v>168</v>
      </c>
      <c r="H44" s="5" t="str">
        <f>"000062"</f>
        <v>000062</v>
      </c>
      <c r="I44" s="4">
        <v>42541</v>
      </c>
      <c r="J44" s="5" t="str">
        <f>"000071"</f>
        <v>000071</v>
      </c>
      <c r="K44" s="4">
        <v>42874</v>
      </c>
      <c r="L44" s="5" t="str">
        <f>"000150"</f>
        <v>000150</v>
      </c>
      <c r="M44" s="4">
        <v>42880</v>
      </c>
      <c r="N44" s="5">
        <v>16</v>
      </c>
      <c r="O44" s="5" t="str">
        <f>"006764"</f>
        <v>006764</v>
      </c>
      <c r="P44" s="4">
        <v>43389</v>
      </c>
      <c r="Q44" s="7">
        <v>15.832179999999999</v>
      </c>
      <c r="R44" s="7">
        <v>1.2198899999999999</v>
      </c>
      <c r="S44" s="7">
        <v>14.61229</v>
      </c>
      <c r="T44" s="5">
        <v>255</v>
      </c>
      <c r="U44" s="4">
        <v>43403</v>
      </c>
      <c r="V44" s="5">
        <v>0</v>
      </c>
      <c r="W44" s="6" t="s">
        <v>169</v>
      </c>
      <c r="X44" s="5" t="s">
        <v>29</v>
      </c>
      <c r="Y44" s="6" t="s">
        <v>30</v>
      </c>
      <c r="Z44" s="5" t="s">
        <v>65</v>
      </c>
      <c r="AA44" s="6" t="s">
        <v>66</v>
      </c>
      <c r="AB44" s="7">
        <f>Q44/100</f>
        <v>0.15832179999999998</v>
      </c>
      <c r="AD44" s="8"/>
      <c r="AF44" s="8"/>
      <c r="AG44" s="8"/>
    </row>
    <row r="45" spans="1:33" x14ac:dyDescent="0.2">
      <c r="A45" s="12">
        <v>7072</v>
      </c>
      <c r="B45" s="13" t="s">
        <v>43</v>
      </c>
      <c r="C45" s="13">
        <v>43404</v>
      </c>
      <c r="D45" s="5">
        <v>74</v>
      </c>
      <c r="E45" s="6" t="s">
        <v>79</v>
      </c>
      <c r="F45" s="5" t="s">
        <v>139</v>
      </c>
      <c r="G45" s="6" t="s">
        <v>140</v>
      </c>
      <c r="H45" s="5" t="str">
        <f>"000078"</f>
        <v>000078</v>
      </c>
      <c r="I45" s="4">
        <v>42723</v>
      </c>
      <c r="J45" s="5" t="str">
        <f>"000056"</f>
        <v>000056</v>
      </c>
      <c r="K45" s="4">
        <v>43283</v>
      </c>
      <c r="L45" s="5" t="str">
        <f>"000055"</f>
        <v>000055</v>
      </c>
      <c r="M45" s="4">
        <v>43283</v>
      </c>
      <c r="N45" s="5">
        <v>17</v>
      </c>
      <c r="O45" s="5" t="str">
        <f>"004732"</f>
        <v>004732</v>
      </c>
      <c r="P45" s="4">
        <v>43314</v>
      </c>
      <c r="Q45" s="7">
        <v>31.116759999999999</v>
      </c>
      <c r="R45" s="7">
        <v>0.99470000000000003</v>
      </c>
      <c r="S45" s="7">
        <v>30.122060000000001</v>
      </c>
      <c r="T45" s="5">
        <v>258</v>
      </c>
      <c r="U45" s="4">
        <v>43404</v>
      </c>
      <c r="V45" s="5">
        <v>9449721396</v>
      </c>
      <c r="W45" s="6" t="s">
        <v>170</v>
      </c>
      <c r="X45" s="5" t="s">
        <v>47</v>
      </c>
      <c r="Y45" s="6" t="s">
        <v>46</v>
      </c>
      <c r="Z45" s="5" t="s">
        <v>68</v>
      </c>
      <c r="AA45" s="6" t="s">
        <v>69</v>
      </c>
      <c r="AB45" s="7">
        <f>Q45/100</f>
        <v>0.31116759999999999</v>
      </c>
      <c r="AD45" s="8"/>
      <c r="AF45" s="8"/>
      <c r="AG45" s="8"/>
    </row>
    <row r="46" spans="1:33" x14ac:dyDescent="0.2">
      <c r="A46" s="12">
        <v>7073</v>
      </c>
      <c r="B46" s="13" t="s">
        <v>43</v>
      </c>
      <c r="C46" s="13">
        <v>43404</v>
      </c>
      <c r="D46" s="5">
        <v>74</v>
      </c>
      <c r="E46" s="6" t="s">
        <v>79</v>
      </c>
      <c r="F46" s="5" t="s">
        <v>142</v>
      </c>
      <c r="G46" s="6" t="s">
        <v>143</v>
      </c>
      <c r="H46" s="5" t="str">
        <f>"000082"</f>
        <v>000082</v>
      </c>
      <c r="I46" s="4">
        <v>42723</v>
      </c>
      <c r="J46" s="5" t="str">
        <f>"000055"</f>
        <v>000055</v>
      </c>
      <c r="K46" s="4">
        <v>43283</v>
      </c>
      <c r="L46" s="5" t="str">
        <f>"000054"</f>
        <v>000054</v>
      </c>
      <c r="M46" s="4">
        <v>43283</v>
      </c>
      <c r="N46" s="5">
        <v>17</v>
      </c>
      <c r="O46" s="5" t="str">
        <f>"004733"</f>
        <v>004733</v>
      </c>
      <c r="P46" s="4">
        <v>43314</v>
      </c>
      <c r="Q46" s="7">
        <v>75.706620000000001</v>
      </c>
      <c r="R46" s="7">
        <v>2.5969000000000002</v>
      </c>
      <c r="S46" s="7">
        <v>73.109719999999996</v>
      </c>
      <c r="T46" s="5">
        <v>258</v>
      </c>
      <c r="U46" s="4">
        <v>43404</v>
      </c>
      <c r="V46" s="5">
        <v>9449721396</v>
      </c>
      <c r="W46" s="6" t="s">
        <v>171</v>
      </c>
      <c r="X46" s="5" t="s">
        <v>47</v>
      </c>
      <c r="Y46" s="6" t="s">
        <v>46</v>
      </c>
      <c r="Z46" s="5" t="s">
        <v>68</v>
      </c>
      <c r="AA46" s="6" t="s">
        <v>69</v>
      </c>
      <c r="AB46" s="7">
        <f>Q46/100</f>
        <v>0.75706620000000002</v>
      </c>
      <c r="AD46" s="8"/>
      <c r="AF46" s="8"/>
      <c r="AG46" s="8"/>
    </row>
    <row r="47" spans="1:33" x14ac:dyDescent="0.2">
      <c r="A47" s="12">
        <v>7074</v>
      </c>
      <c r="B47" s="13" t="s">
        <v>43</v>
      </c>
      <c r="C47" s="13">
        <v>43404</v>
      </c>
      <c r="D47" s="5">
        <v>74</v>
      </c>
      <c r="E47" s="6" t="s">
        <v>79</v>
      </c>
      <c r="F47" s="5" t="s">
        <v>172</v>
      </c>
      <c r="G47" s="6" t="s">
        <v>173</v>
      </c>
      <c r="H47" s="5" t="str">
        <f>"000041"</f>
        <v>000041</v>
      </c>
      <c r="I47" s="4">
        <v>43262</v>
      </c>
      <c r="J47" s="5" t="str">
        <f>"000058"</f>
        <v>000058</v>
      </c>
      <c r="K47" s="4">
        <v>43276</v>
      </c>
      <c r="L47" s="5" t="str">
        <f>"000120"</f>
        <v>000120</v>
      </c>
      <c r="M47" s="4">
        <v>43276</v>
      </c>
      <c r="N47" s="5">
        <v>18</v>
      </c>
      <c r="O47" s="5" t="str">
        <f>"007046"</f>
        <v>007046</v>
      </c>
      <c r="P47" s="4">
        <v>43400</v>
      </c>
      <c r="Q47" s="7">
        <v>13.48654</v>
      </c>
      <c r="R47" s="7">
        <v>1.35728</v>
      </c>
      <c r="S47" s="7">
        <v>12.12926</v>
      </c>
      <c r="T47" s="5">
        <v>260</v>
      </c>
      <c r="U47" s="4">
        <v>43404</v>
      </c>
      <c r="V47" s="5">
        <v>9900333496</v>
      </c>
      <c r="W47" s="6" t="s">
        <v>67</v>
      </c>
      <c r="X47" s="5" t="s">
        <v>42</v>
      </c>
      <c r="Y47" s="6" t="s">
        <v>41</v>
      </c>
      <c r="Z47" s="5" t="s">
        <v>65</v>
      </c>
      <c r="AA47" s="6" t="s">
        <v>66</v>
      </c>
      <c r="AB47" s="7">
        <f>Q47/100</f>
        <v>0.1348654</v>
      </c>
      <c r="AD47" s="8"/>
      <c r="AF47" s="8"/>
      <c r="AG47" s="8"/>
    </row>
    <row r="48" spans="1:33" x14ac:dyDescent="0.2">
      <c r="A48" s="12">
        <v>7375</v>
      </c>
      <c r="B48" s="13" t="s">
        <v>39</v>
      </c>
      <c r="C48" s="13">
        <v>43427</v>
      </c>
      <c r="D48" s="5">
        <v>74</v>
      </c>
      <c r="E48" s="6" t="s">
        <v>79</v>
      </c>
      <c r="F48" s="5" t="s">
        <v>174</v>
      </c>
      <c r="G48" s="6" t="s">
        <v>175</v>
      </c>
      <c r="H48" s="5" t="str">
        <f>"000121"</f>
        <v>000121</v>
      </c>
      <c r="I48" s="4">
        <v>43372</v>
      </c>
      <c r="J48" s="5" t="str">
        <f>"000194"</f>
        <v>000194</v>
      </c>
      <c r="K48" s="4">
        <v>43396</v>
      </c>
      <c r="L48" s="5" t="str">
        <f>"000327"</f>
        <v>000327</v>
      </c>
      <c r="M48" s="4">
        <v>43396</v>
      </c>
      <c r="N48" s="5">
        <v>18</v>
      </c>
      <c r="O48" s="5" t="str">
        <f>"007512"</f>
        <v>007512</v>
      </c>
      <c r="P48" s="4">
        <v>43426</v>
      </c>
      <c r="Q48" s="7">
        <v>9.9951600000000003</v>
      </c>
      <c r="R48" s="7">
        <v>1.03806</v>
      </c>
      <c r="S48" s="7">
        <v>8.9571000000000005</v>
      </c>
      <c r="T48" s="5">
        <v>272</v>
      </c>
      <c r="U48" s="4">
        <v>43427</v>
      </c>
      <c r="V48" s="5">
        <v>9900333496</v>
      </c>
      <c r="W48" s="6" t="s">
        <v>67</v>
      </c>
      <c r="X48" s="5" t="s">
        <v>62</v>
      </c>
      <c r="Y48" s="6" t="s">
        <v>61</v>
      </c>
      <c r="Z48" s="5" t="s">
        <v>65</v>
      </c>
      <c r="AA48" s="6" t="s">
        <v>66</v>
      </c>
      <c r="AB48" s="7">
        <f>Q48/100</f>
        <v>9.9951600000000002E-2</v>
      </c>
      <c r="AD48" s="8"/>
      <c r="AF48" s="8"/>
      <c r="AG48" s="8"/>
    </row>
    <row r="49" spans="1:33" x14ac:dyDescent="0.2">
      <c r="A49" s="12">
        <v>7376</v>
      </c>
      <c r="B49" s="13" t="s">
        <v>39</v>
      </c>
      <c r="C49" s="13">
        <v>43427</v>
      </c>
      <c r="D49" s="5">
        <v>74</v>
      </c>
      <c r="E49" s="6" t="s">
        <v>79</v>
      </c>
      <c r="F49" s="5" t="s">
        <v>176</v>
      </c>
      <c r="G49" s="6" t="s">
        <v>177</v>
      </c>
      <c r="H49" s="5" t="str">
        <f>"000137"</f>
        <v>000137</v>
      </c>
      <c r="I49" s="4">
        <v>43384</v>
      </c>
      <c r="J49" s="5" t="str">
        <f>"000192"</f>
        <v>000192</v>
      </c>
      <c r="K49" s="4">
        <v>43396</v>
      </c>
      <c r="L49" s="5" t="str">
        <f>"000328"</f>
        <v>000328</v>
      </c>
      <c r="M49" s="4">
        <v>43396</v>
      </c>
      <c r="N49" s="5">
        <v>18</v>
      </c>
      <c r="O49" s="5" t="str">
        <f>"007514"</f>
        <v>007514</v>
      </c>
      <c r="P49" s="4">
        <v>43426</v>
      </c>
      <c r="Q49" s="7">
        <v>14.991989999999999</v>
      </c>
      <c r="R49" s="7">
        <v>1.7669999999999999</v>
      </c>
      <c r="S49" s="7">
        <v>13.22499</v>
      </c>
      <c r="T49" s="5">
        <v>272</v>
      </c>
      <c r="U49" s="4">
        <v>43427</v>
      </c>
      <c r="V49" s="5">
        <v>9900333496</v>
      </c>
      <c r="W49" s="6" t="s">
        <v>67</v>
      </c>
      <c r="X49" s="5" t="s">
        <v>60</v>
      </c>
      <c r="Y49" s="6" t="s">
        <v>59</v>
      </c>
      <c r="Z49" s="5" t="s">
        <v>65</v>
      </c>
      <c r="AA49" s="6" t="s">
        <v>66</v>
      </c>
      <c r="AB49" s="7">
        <f>Q49/100</f>
        <v>0.14991989999999999</v>
      </c>
      <c r="AD49" s="8"/>
      <c r="AF49" s="8"/>
      <c r="AG49" s="8"/>
    </row>
    <row r="50" spans="1:33" x14ac:dyDescent="0.2">
      <c r="A50" s="12">
        <v>7377</v>
      </c>
      <c r="B50" s="13" t="s">
        <v>39</v>
      </c>
      <c r="C50" s="13">
        <v>43427</v>
      </c>
      <c r="D50" s="5">
        <v>74</v>
      </c>
      <c r="E50" s="6" t="s">
        <v>79</v>
      </c>
      <c r="F50" s="5" t="s">
        <v>178</v>
      </c>
      <c r="G50" s="6" t="s">
        <v>179</v>
      </c>
      <c r="H50" s="5" t="str">
        <f>"000122"</f>
        <v>000122</v>
      </c>
      <c r="I50" s="4">
        <v>43372</v>
      </c>
      <c r="J50" s="5" t="str">
        <f>"000193"</f>
        <v>000193</v>
      </c>
      <c r="K50" s="4">
        <v>43396</v>
      </c>
      <c r="L50" s="5" t="str">
        <f>"000329"</f>
        <v>000329</v>
      </c>
      <c r="M50" s="4">
        <v>43396</v>
      </c>
      <c r="N50" s="5">
        <v>18</v>
      </c>
      <c r="O50" s="5" t="str">
        <f>"007515"</f>
        <v>007515</v>
      </c>
      <c r="P50" s="4">
        <v>43426</v>
      </c>
      <c r="Q50" s="7">
        <v>14.99122</v>
      </c>
      <c r="R50" s="7">
        <v>1.7659</v>
      </c>
      <c r="S50" s="7">
        <v>13.22532</v>
      </c>
      <c r="T50" s="5">
        <v>272</v>
      </c>
      <c r="U50" s="4">
        <v>43427</v>
      </c>
      <c r="V50" s="5">
        <v>9900333496</v>
      </c>
      <c r="W50" s="6" t="s">
        <v>67</v>
      </c>
      <c r="X50" s="5" t="s">
        <v>58</v>
      </c>
      <c r="Y50" s="6" t="s">
        <v>57</v>
      </c>
      <c r="Z50" s="5" t="s">
        <v>65</v>
      </c>
      <c r="AA50" s="6" t="s">
        <v>66</v>
      </c>
      <c r="AB50" s="7">
        <f>Q50/100</f>
        <v>0.1499122</v>
      </c>
      <c r="AD50" s="8"/>
      <c r="AF50" s="8"/>
      <c r="AG50" s="8"/>
    </row>
    <row r="51" spans="1:33" x14ac:dyDescent="0.2">
      <c r="A51" s="12">
        <v>7732</v>
      </c>
      <c r="B51" s="13" t="s">
        <v>40</v>
      </c>
      <c r="C51" s="13">
        <v>43448</v>
      </c>
      <c r="D51" s="5">
        <v>74</v>
      </c>
      <c r="E51" s="6" t="s">
        <v>79</v>
      </c>
      <c r="F51" s="5" t="s">
        <v>180</v>
      </c>
      <c r="G51" s="6" t="s">
        <v>181</v>
      </c>
      <c r="H51" s="5" t="str">
        <f>"000033"</f>
        <v>000033</v>
      </c>
      <c r="I51" s="4">
        <v>42770</v>
      </c>
      <c r="J51" s="5" t="str">
        <f>"000044"</f>
        <v>000044</v>
      </c>
      <c r="K51" s="4">
        <v>43019</v>
      </c>
      <c r="L51" s="5" t="str">
        <f>"000058"</f>
        <v>000058</v>
      </c>
      <c r="M51" s="4">
        <v>43019</v>
      </c>
      <c r="N51" s="5">
        <v>17</v>
      </c>
      <c r="O51" s="5" t="str">
        <f>"007760"</f>
        <v>007760</v>
      </c>
      <c r="P51" s="4">
        <v>43444</v>
      </c>
      <c r="Q51" s="7">
        <v>29.928080000000001</v>
      </c>
      <c r="R51" s="7">
        <v>3.7079300000000002</v>
      </c>
      <c r="S51" s="7">
        <v>26.22015</v>
      </c>
      <c r="T51" s="5">
        <v>292</v>
      </c>
      <c r="U51" s="4">
        <v>43448</v>
      </c>
      <c r="V51" s="5">
        <v>9845355689</v>
      </c>
      <c r="W51" s="6" t="s">
        <v>56</v>
      </c>
      <c r="X51" s="5" t="s">
        <v>72</v>
      </c>
      <c r="Y51" s="6" t="s">
        <v>73</v>
      </c>
      <c r="Z51" s="5" t="s">
        <v>68</v>
      </c>
      <c r="AA51" s="6" t="s">
        <v>69</v>
      </c>
      <c r="AB51" s="7">
        <f>Q51/100</f>
        <v>0.29928080000000001</v>
      </c>
      <c r="AD51" s="8"/>
      <c r="AF51" s="8"/>
      <c r="AG51" s="8"/>
    </row>
    <row r="52" spans="1:33" x14ac:dyDescent="0.2">
      <c r="A52" s="12">
        <v>8007</v>
      </c>
      <c r="B52" s="13" t="s">
        <v>40</v>
      </c>
      <c r="C52" s="13">
        <v>43455</v>
      </c>
      <c r="D52" s="5">
        <v>74</v>
      </c>
      <c r="E52" s="6" t="s">
        <v>79</v>
      </c>
      <c r="F52" s="5" t="s">
        <v>182</v>
      </c>
      <c r="G52" s="6" t="s">
        <v>183</v>
      </c>
      <c r="H52" s="5" t="str">
        <f>"000453"</f>
        <v>000453</v>
      </c>
      <c r="I52" s="4">
        <v>42798</v>
      </c>
      <c r="J52" s="5" t="str">
        <f>"000087"</f>
        <v>000087</v>
      </c>
      <c r="K52" s="4">
        <v>42880</v>
      </c>
      <c r="L52" s="5" t="str">
        <f>"000200"</f>
        <v>000200</v>
      </c>
      <c r="M52" s="4">
        <v>42886</v>
      </c>
      <c r="N52" s="5">
        <v>17</v>
      </c>
      <c r="O52" s="5" t="str">
        <f>"007789"</f>
        <v>007789</v>
      </c>
      <c r="P52" s="4">
        <v>43444</v>
      </c>
      <c r="Q52" s="7">
        <v>12.34187</v>
      </c>
      <c r="R52" s="7">
        <v>0.93403000000000003</v>
      </c>
      <c r="S52" s="7">
        <v>11.40784</v>
      </c>
      <c r="T52" s="5">
        <v>301</v>
      </c>
      <c r="U52" s="4">
        <v>43455</v>
      </c>
      <c r="V52" s="5">
        <v>9590281209</v>
      </c>
      <c r="W52" s="6" t="s">
        <v>184</v>
      </c>
      <c r="X52" s="5" t="s">
        <v>29</v>
      </c>
      <c r="Y52" s="6" t="s">
        <v>30</v>
      </c>
      <c r="Z52" s="5" t="s">
        <v>65</v>
      </c>
      <c r="AA52" s="6" t="s">
        <v>66</v>
      </c>
      <c r="AB52" s="7">
        <f>Q52/100</f>
        <v>0.12341870000000001</v>
      </c>
      <c r="AD52" s="8"/>
      <c r="AF52" s="8"/>
      <c r="AG52" s="8"/>
    </row>
    <row r="53" spans="1:33" x14ac:dyDescent="0.2">
      <c r="A53" s="12">
        <v>8008</v>
      </c>
      <c r="B53" s="13" t="s">
        <v>40</v>
      </c>
      <c r="C53" s="13">
        <v>43455</v>
      </c>
      <c r="D53" s="5">
        <v>74</v>
      </c>
      <c r="E53" s="6" t="s">
        <v>79</v>
      </c>
      <c r="F53" s="5" t="s">
        <v>185</v>
      </c>
      <c r="G53" s="6" t="s">
        <v>186</v>
      </c>
      <c r="H53" s="5" t="str">
        <f>"000351"</f>
        <v>000351</v>
      </c>
      <c r="I53" s="4">
        <v>42690</v>
      </c>
      <c r="J53" s="5" t="str">
        <f>"000040"</f>
        <v>000040</v>
      </c>
      <c r="K53" s="4">
        <v>42853</v>
      </c>
      <c r="L53" s="5" t="str">
        <f>"000205"</f>
        <v>000205</v>
      </c>
      <c r="M53" s="4">
        <v>42886</v>
      </c>
      <c r="N53" s="5">
        <v>17</v>
      </c>
      <c r="O53" s="5" t="str">
        <f>"007790"</f>
        <v>007790</v>
      </c>
      <c r="P53" s="4">
        <v>43444</v>
      </c>
      <c r="Q53" s="7">
        <v>19.684750000000001</v>
      </c>
      <c r="R53" s="7">
        <v>2.80321</v>
      </c>
      <c r="S53" s="7">
        <v>16.881540000000001</v>
      </c>
      <c r="T53" s="5">
        <v>301</v>
      </c>
      <c r="U53" s="4">
        <v>43455</v>
      </c>
      <c r="V53" s="5">
        <v>9900333496</v>
      </c>
      <c r="W53" s="6" t="s">
        <v>70</v>
      </c>
      <c r="X53" s="5" t="s">
        <v>55</v>
      </c>
      <c r="Y53" s="6" t="s">
        <v>54</v>
      </c>
      <c r="Z53" s="5" t="s">
        <v>65</v>
      </c>
      <c r="AA53" s="6" t="s">
        <v>66</v>
      </c>
      <c r="AB53" s="7">
        <f>Q53/100</f>
        <v>0.19684750000000001</v>
      </c>
      <c r="AD53" s="8"/>
      <c r="AF53" s="8"/>
      <c r="AG5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2019-01-14T14:03:52Z</dcterms:modified>
</cp:coreProperties>
</file>