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4" i="1" l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O49" i="1"/>
  <c r="L49" i="1"/>
  <c r="J49" i="1"/>
  <c r="H49" i="1"/>
  <c r="O48" i="1"/>
  <c r="L48" i="1"/>
  <c r="J48" i="1"/>
  <c r="H48" i="1"/>
  <c r="O47" i="1"/>
  <c r="L47" i="1"/>
  <c r="J47" i="1"/>
  <c r="H47" i="1"/>
  <c r="O46" i="1"/>
  <c r="L46" i="1"/>
  <c r="J46" i="1"/>
  <c r="H46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<sst xmlns="http://schemas.openxmlformats.org/spreadsheetml/2006/main" count="505" uniqueCount="203">
  <si>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</si>
  <si>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</si>
  <si>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</si>
  <si>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</si>
  <si>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</si>
  <si>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</si>
  <si>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</si>
  <si>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</si>
  <si>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</si>
  <si>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</si>
  <si>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</si>
  <si>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</si>
  <si>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</si>
  <si>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</si>
  <si>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</si>
  <si>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</si>
  <si>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</si>
  <si>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</si>
  <si>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</si>
  <si>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</si>
  <si>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</si>
  <si>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</si>
  <si>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</si>
  <si>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</si>
  <si>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</si>
  <si>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</si>
  <si>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</si>
  <si>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</si>
  <si>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</si>
  <si>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</si>
  <si>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</si>
  <si>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</si>
  <si>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</si>
  <si>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</si>
  <si>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</si>
  <si>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</si>
  <si>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</si>
  <si>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</si>
  <si>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</si>
  <si>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November</t>
  </si>
  <si>
    <t>December</t>
  </si>
  <si>
    <t>Nagarothana Works</t>
  </si>
  <si>
    <t>P3106</t>
  </si>
  <si>
    <t>October</t>
  </si>
  <si>
    <t>Special Development works in 7 CMC and 1 TMC area in BBMP</t>
  </si>
  <si>
    <t>P3089</t>
  </si>
  <si>
    <t>State Finance Commission Untied Grant Works</t>
  </si>
  <si>
    <t>P3111</t>
  </si>
  <si>
    <t>April</t>
  </si>
  <si>
    <t>KRIDL</t>
  </si>
  <si>
    <t>Special comprehensive development works in Bangalore city (Bangalore city in charge Minister Discretionary Grants)</t>
  </si>
  <si>
    <t>P3075</t>
  </si>
  <si>
    <t>Works sanctioned by Hon Mayor</t>
  </si>
  <si>
    <t>P0190</t>
  </si>
  <si>
    <t>M/S KRIDL</t>
  </si>
  <si>
    <t>Reserve fund for TandF Committee</t>
  </si>
  <si>
    <t>P2415</t>
  </si>
  <si>
    <t>14th Finance Commission Works - Providing Street Lights and Maintenance</t>
  </si>
  <si>
    <t>P3290</t>
  </si>
  <si>
    <t>P0294</t>
  </si>
  <si>
    <t>M and R to Electrical Inst in BMP Buildings, Schools, M.Homes, Community Halls, Markets and Others</t>
  </si>
  <si>
    <t>ddo365</t>
  </si>
  <si>
    <t xml:space="preserve"> Executive Engineer Electrical Mahadevapura Zone</t>
  </si>
  <si>
    <t>M/s Vaishnavi Enterprises</t>
  </si>
  <si>
    <t>ddo359</t>
  </si>
  <si>
    <t xml:space="preserve"> Assistant Executive Engineer Hoody Mahadevapura Zone</t>
  </si>
  <si>
    <t>M VENKATACHALAPATHI</t>
  </si>
  <si>
    <t xml:space="preserve">M/S KRIDL </t>
  </si>
  <si>
    <t>Garudachar Palya</t>
  </si>
  <si>
    <t>082-16-000034</t>
  </si>
  <si>
    <t>Improvements of Balance portion of ECC road at Pattanduru Agrahara in ward no82</t>
  </si>
  <si>
    <t xml:space="preserve">G.VENKATESH </t>
  </si>
  <si>
    <t>082-16-000020</t>
  </si>
  <si>
    <t>Improvements to Roads from govt. school to Gangamma temple at Kaverinagara in ward no 82</t>
  </si>
  <si>
    <t>Krishnamurthy.P.A</t>
  </si>
  <si>
    <t>082-16-000024</t>
  </si>
  <si>
    <t>Improvements to Roads and Drains at Basavana Nagara Internal roads in ward no 82</t>
  </si>
  <si>
    <t>GOPALAKRISHNA M/S KARTHIK ENTERPRISES</t>
  </si>
  <si>
    <t>082-17-000035</t>
  </si>
  <si>
    <t>Repairs to Drains and Culverts in Garudacharpalya ward no 82</t>
  </si>
  <si>
    <t xml:space="preserve">T Anjanappa  </t>
  </si>
  <si>
    <t>082-17-000030</t>
  </si>
  <si>
    <t>Improvements to roads and drain at Om Shakti layout 3rd and 4th cross roads in ward no 82</t>
  </si>
  <si>
    <t>A ASHOK REDDY</t>
  </si>
  <si>
    <t>082-17-000029</t>
  </si>
  <si>
    <t>Improvements to roads and drain at Om Shakti layout 1st and 2nd cross roads in ward no 82</t>
  </si>
  <si>
    <t>082-16-000005</t>
  </si>
  <si>
    <t>Maintenance of BBMP building in Garudacharpalya at Ward No 82 Garudacharpalya</t>
  </si>
  <si>
    <t>S M ARJUN</t>
  </si>
  <si>
    <t>082-17-000037</t>
  </si>
  <si>
    <t>Improvements of roads and drains from Anandappa house to Nagarathanamma house at Garudacharpalya in ward no. 82</t>
  </si>
  <si>
    <t>082-17-000040</t>
  </si>
  <si>
    <t>Improvements to road from back side of Sri Krishna temple to C.N.Venkatesh house at Kaverinagar in ward no. 82</t>
  </si>
  <si>
    <t>082-16-000016</t>
  </si>
  <si>
    <t>Annual maintenance of roads and filling of Potholes in ward no-82</t>
  </si>
  <si>
    <t>082-14-000022</t>
  </si>
  <si>
    <t xml:space="preserve">Engaging tractor and Labour for maintenance of drains and katcha roadsin ward no 82 </t>
  </si>
  <si>
    <t>S SURESH</t>
  </si>
  <si>
    <t>082-14-000019</t>
  </si>
  <si>
    <t xml:space="preserve">Improvements to removing and lifting debris in ward no 82 </t>
  </si>
  <si>
    <t>082-15-000018</t>
  </si>
  <si>
    <t xml:space="preserve">Amount Earmarked for attending emergency works with the approval of Joint Commissioner BBMP in ward no 82 </t>
  </si>
  <si>
    <t>KRISHNEGOWDA.M    M.K.AGENCY</t>
  </si>
  <si>
    <t>082-16-000027</t>
  </si>
  <si>
    <t>Improvements to roads and drains at RHB colony in ward no 82</t>
  </si>
  <si>
    <t>Krishnegowda.M M/s M K Agency</t>
  </si>
  <si>
    <t>082-16-000032</t>
  </si>
  <si>
    <t>Improvements to road from Mahadevapura main road to Garudacharpalya Nidhi Bakary and main roads of Chikkanna layout Maheshwarinagara Ambedkarnagara Lakshmi Sagara and RHB colony in ward no82</t>
  </si>
  <si>
    <t xml:space="preserve">G VENKATESH </t>
  </si>
  <si>
    <t>082-16-000037</t>
  </si>
  <si>
    <t>Improvements to Internal Roads and Drains at Munikadarappa Layout in Garudacharapalya ward no -82</t>
  </si>
  <si>
    <t xml:space="preserve">SRI GOPALA KRISHNA </t>
  </si>
  <si>
    <t>082-16-000015</t>
  </si>
  <si>
    <t>Improvements to Internal roads and drains of Pattanduru agrahara in wno82</t>
  </si>
  <si>
    <t>SHARAVANAKUMAR</t>
  </si>
  <si>
    <t>082-16-000012</t>
  </si>
  <si>
    <t>Improvements to Internal roads and drains of SC colony in Basavanna nagara ward no-82</t>
  </si>
  <si>
    <t>SHRAVANKUMAR</t>
  </si>
  <si>
    <t>082-16-000017</t>
  </si>
  <si>
    <t>Improvements to Internal roads and drains of Ambedkara Nagara in ward no 82</t>
  </si>
  <si>
    <t>T ANJINAPPA</t>
  </si>
  <si>
    <t>082-16-000019</t>
  </si>
  <si>
    <t>Improvement to Roads and Drains at Lakshmi sagara in ward no 82</t>
  </si>
  <si>
    <t>S R RAVINDRA</t>
  </si>
  <si>
    <t>082-15-000017</t>
  </si>
  <si>
    <t xml:space="preserve">Engaging tractor and Labour for maintenance of katcha roads and drains in ward no 82 </t>
  </si>
  <si>
    <t>C MUNIRAJU</t>
  </si>
  <si>
    <t>082-16-000053</t>
  </si>
  <si>
    <t xml:space="preserve"> Improvements to Roads and Drains at Garudacharapalya in ward no -82</t>
  </si>
  <si>
    <t>082-16-000028</t>
  </si>
  <si>
    <t>Improvements to road from ITPL main road to Muthkurappa layout</t>
  </si>
  <si>
    <t>M VENKATACHAAPATHI</t>
  </si>
  <si>
    <t>082-14-000017</t>
  </si>
  <si>
    <t xml:space="preserve">Improvements to roads and darins in Pattandur agrahara in ward no 82 </t>
  </si>
  <si>
    <t>M S HARSIH BABU HARISH ENTER PRISES</t>
  </si>
  <si>
    <t>082-16-000041</t>
  </si>
  <si>
    <t>Improvements to Internal Roads and Drains at Pattanduru agrahara in Garudacharapalya ward no -82</t>
  </si>
  <si>
    <t>Anil kumar.G</t>
  </si>
  <si>
    <t>082-16-000036</t>
  </si>
  <si>
    <t>Improvements to Internal Roads and Drains at Shetty Layout in Garudacharapalya ward no .82</t>
  </si>
  <si>
    <t>M B HOMBAL</t>
  </si>
  <si>
    <t>082-16-000039</t>
  </si>
  <si>
    <t>Improvements to Internal Roads and Drains at Rajpalya in Garudacharapalya ward no -82</t>
  </si>
  <si>
    <t>082-16-000014</t>
  </si>
  <si>
    <t>Improvements to Internal roads and drains of Hoody in ward no 82</t>
  </si>
  <si>
    <t>A ASHOKREDDY</t>
  </si>
  <si>
    <t>082-16-000010</t>
  </si>
  <si>
    <t>Improvements to Internal roads and drains Around Maramma Temple in Basavanna nagara ward no-82</t>
  </si>
  <si>
    <t>A ASHOKM REDDY</t>
  </si>
  <si>
    <t>082-16-000038</t>
  </si>
  <si>
    <t>Improvements to Internal Roads and Drains at Hoody Nagappa Layout in Garudacharapalya ward no -82</t>
  </si>
  <si>
    <t>SRI GOPALA KRISHNA</t>
  </si>
  <si>
    <t>082-16-000054</t>
  </si>
  <si>
    <t xml:space="preserve"> Improvements to Roads and Drains at Munikadarappa Layout Garudacharapalya in ward no -82</t>
  </si>
  <si>
    <t>THE TECHNICAL MANAGER (EAST)</t>
  </si>
  <si>
    <t>082-15-000020</t>
  </si>
  <si>
    <t>Repairs and Maintanance of Electrical Installations in BBMP Mahadevapura Zonal office Building Admin Block in Mahadevapura Zone Ward No 82</t>
  </si>
  <si>
    <t>082-15-000019</t>
  </si>
  <si>
    <t>Repairs and Maintanance of Electrical Installations in BBMPMahadevapura office Building Commercial Block in Mahadevapura Zone Ward No 82</t>
  </si>
  <si>
    <t>082-16-000001</t>
  </si>
  <si>
    <t>Operation and maintanance of street light fittings in ward no 82 Garudcharpalya Mahadevapura Zone M07</t>
  </si>
  <si>
    <t>Keerthi Electricals</t>
  </si>
  <si>
    <t>082-16-000047</t>
  </si>
  <si>
    <t>Improvements to roads and drains at Chikkanna layout in ward no 82</t>
  </si>
  <si>
    <t>082-16-000050</t>
  </si>
  <si>
    <t xml:space="preserve"> Improvements to Roads and Drains at Muniswamy Shetty layout in Garudacharapalya ward no -82</t>
  </si>
  <si>
    <t>082-16-000031</t>
  </si>
  <si>
    <t>Improvements to balance roads at Nagapppa Layout in ward no 82</t>
  </si>
  <si>
    <t xml:space="preserve">N BABU </t>
  </si>
  <si>
    <t>082-16-000026</t>
  </si>
  <si>
    <t>Improvements to Internal Roads and Drains at Kanaka layout in Garudacharapalya in ward no 82</t>
  </si>
  <si>
    <t>N BABU</t>
  </si>
  <si>
    <t>082-16-000030</t>
  </si>
  <si>
    <t>Improvements to road from Graphite India road to Munikadirappa layout in ward no 82</t>
  </si>
  <si>
    <t>M C PRABHAKARAREDDY</t>
  </si>
  <si>
    <t>M/s.Keerthi Electricals (Prop.Sri.B.Kumar)</t>
  </si>
  <si>
    <t>082-16-000023</t>
  </si>
  <si>
    <t>Improvements to Roads and Drains at Shetty layout in ward no 82</t>
  </si>
  <si>
    <t>082-16-000029</t>
  </si>
  <si>
    <t>Improvements to road from ITPL main road BESCOME office opposite road in ward no 82</t>
  </si>
  <si>
    <t>082-16-000045</t>
  </si>
  <si>
    <t>Improvements to roads and drains at Basavanna Nagara in Garudacharpalya ward no 82</t>
  </si>
  <si>
    <t>082-16-000049</t>
  </si>
  <si>
    <t xml:space="preserve"> Improvements to Main roads, Cross Roads and Drains at Basavanna Nagara in Garudacharapalya ward no -82</t>
  </si>
  <si>
    <t>082-17-000001</t>
  </si>
  <si>
    <t>Drilling of Borewells in Garudacharpalya ward no 82</t>
  </si>
  <si>
    <t>THIRUMALA ELECTRICALS S RAMESH</t>
  </si>
  <si>
    <t>082-16-000035</t>
  </si>
  <si>
    <t>Improvements to Internal Roads and Drains  at Kaveri Nagara  in Garudacharapalya ward no -82</t>
  </si>
  <si>
    <t>T.J. NIJAGUNA GOWDA (SRI NIJAGUNA LAND DEVELOPERS AND BUILDERS)</t>
  </si>
  <si>
    <t>082-18-000047</t>
  </si>
  <si>
    <t>Providing and fixing LED Street lights in ward no 82 Garudacharpalya</t>
  </si>
  <si>
    <t>082-17-000010</t>
  </si>
  <si>
    <t>Improvements to cross roads and drain Opp to Bescom office  in Garudacharpalya ward no 82</t>
  </si>
  <si>
    <t xml:space="preserve">B BASAVARAJ, M/S B B K K INFRASTRUCTURE </t>
  </si>
  <si>
    <t>P3174</t>
  </si>
  <si>
    <t>Special development works in ward No. 188, 141, 169, 82, 58,  (Rs.300 lakhs each ward)</t>
  </si>
  <si>
    <t>082-17-000022</t>
  </si>
  <si>
    <t>Improvements to  drains  of main road at Kaveri Nagara in Garudacharpalya  ward no 82</t>
  </si>
  <si>
    <t>B Basavaraj M/S BBKK Infrastructure</t>
  </si>
  <si>
    <t>082-18-000001</t>
  </si>
  <si>
    <t>Improvements to Internal Roads and Drains at Garudacharpalya in ward no 82</t>
  </si>
  <si>
    <t>M.C.PRABHAKAREDDY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</si>
</sst>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tabSelected="1" workbookViewId="0">
      <selection activeCell="A2" sqref="A2:XFD5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192</v>
      </c>
      <c r="B2" s="13" t="s">
        <v>48</v>
      </c>
      <c r="C2" s="13">
        <v>43195</v>
      </c>
      <c r="D2" s="5">
        <v>82</v>
      </c>
      <c r="E2" s="6" t="s">
        <v>68</v>
      </c>
      <c r="F2" s="5" t="s">
        <v>69</v>
      </c>
      <c r="G2" s="6" t="s">
        <v>70</v>
      </c>
      <c r="H2" s="5" t="str">
        <f>"000174"</f>
        <v>000174</v>
      </c>
      <c r="I2" s="4">
        <v>43162</v>
      </c>
      <c r="J2" s="5" t="str">
        <f>"000022"</f>
        <v>000022</v>
      </c>
      <c r="K2" s="4">
        <v>43248</v>
      </c>
      <c r="L2" s="5" t="str">
        <f>"000054"</f>
        <v>000054</v>
      </c>
      <c r="M2" s="4">
        <v>43248</v>
      </c>
      <c r="N2" s="5">
        <v>16</v>
      </c>
      <c r="O2" s="5" t="str">
        <f>"003167"</f>
        <v>003167</v>
      </c>
      <c r="P2" s="4">
        <v>43280</v>
      </c>
      <c r="Q2" s="7">
        <v>49.178249999999998</v>
      </c>
      <c r="R2" s="7">
        <v>1.38029</v>
      </c>
      <c r="S2" s="7">
        <v>47.797960000000003</v>
      </c>
      <c r="T2" s="5">
        <v>6</v>
      </c>
      <c r="U2" s="4">
        <v>43195</v>
      </c>
      <c r="V2" s="5">
        <v>9845034278</v>
      </c>
      <c r="W2" s="6" t="s">
        <v>71</v>
      </c>
      <c r="X2" s="5" t="s">
        <v>42</v>
      </c>
      <c r="Y2" s="6" t="s">
        <v>41</v>
      </c>
      <c r="Z2" s="5" t="s">
        <v>64</v>
      </c>
      <c r="AA2" s="6" t="s">
        <v>65</v>
      </c>
      <c r="AB2" s="7">
        <v>0.49178250000000001</v>
      </c>
      <c r="AD2" s="8"/>
      <c r="AF2" s="8"/>
      <c r="AG2" s="8"/>
    </row>
    <row r="3" spans="1:33" x14ac:dyDescent="0.2">
      <c r="A3" s="12">
        <v>388</v>
      </c>
      <c r="B3" s="13" t="s">
        <v>48</v>
      </c>
      <c r="C3" s="13">
        <v>43200</v>
      </c>
      <c r="D3" s="5">
        <v>82</v>
      </c>
      <c r="E3" s="6" t="s">
        <v>68</v>
      </c>
      <c r="F3" s="5" t="s">
        <v>72</v>
      </c>
      <c r="G3" s="6" t="s">
        <v>73</v>
      </c>
      <c r="H3" s="5" t="str">
        <f>"000127"</f>
        <v>000127</v>
      </c>
      <c r="I3" s="4">
        <v>42451</v>
      </c>
      <c r="J3" s="5" t="str">
        <f>"000070"</f>
        <v>000070</v>
      </c>
      <c r="K3" s="4">
        <v>42551</v>
      </c>
      <c r="L3" s="5" t="str">
        <f>"000211"</f>
        <v>000211</v>
      </c>
      <c r="M3" s="4">
        <v>42551</v>
      </c>
      <c r="N3" s="5">
        <v>16</v>
      </c>
      <c r="O3" s="5" t="str">
        <f>"000219"</f>
        <v>000219</v>
      </c>
      <c r="P3" s="4">
        <v>43194</v>
      </c>
      <c r="Q3" s="7">
        <v>19.789380000000001</v>
      </c>
      <c r="R3" s="7">
        <v>2.59328</v>
      </c>
      <c r="S3" s="7">
        <v>17.196100000000001</v>
      </c>
      <c r="T3" s="5">
        <v>9</v>
      </c>
      <c r="U3" s="4">
        <v>43200</v>
      </c>
      <c r="V3" s="5">
        <v>9880856462</v>
      </c>
      <c r="W3" s="6" t="s">
        <v>74</v>
      </c>
      <c r="X3" s="5" t="s">
        <v>45</v>
      </c>
      <c r="Y3" s="6" t="s">
        <v>44</v>
      </c>
      <c r="Z3" s="5" t="s">
        <v>64</v>
      </c>
      <c r="AA3" s="6" t="s">
        <v>65</v>
      </c>
      <c r="AB3" s="7">
        <v>0.19789380000000001</v>
      </c>
      <c r="AD3" s="8"/>
      <c r="AF3" s="8"/>
      <c r="AG3" s="8"/>
    </row>
    <row r="4" spans="1:33" x14ac:dyDescent="0.2">
      <c r="A4" s="12">
        <v>389</v>
      </c>
      <c r="B4" s="13" t="s">
        <v>48</v>
      </c>
      <c r="C4" s="13">
        <v>43200</v>
      </c>
      <c r="D4" s="5">
        <v>82</v>
      </c>
      <c r="E4" s="6" t="s">
        <v>68</v>
      </c>
      <c r="F4" s="5" t="s">
        <v>75</v>
      </c>
      <c r="G4" s="6" t="s">
        <v>76</v>
      </c>
      <c r="H4" s="5" t="str">
        <f>"000096"</f>
        <v>000096</v>
      </c>
      <c r="I4" s="4">
        <v>42521</v>
      </c>
      <c r="J4" s="5" t="str">
        <f>"000074"</f>
        <v>000074</v>
      </c>
      <c r="K4" s="4">
        <v>42566</v>
      </c>
      <c r="L4" s="5" t="str">
        <f>"000252"</f>
        <v>000252</v>
      </c>
      <c r="M4" s="4">
        <v>42580</v>
      </c>
      <c r="N4" s="5">
        <v>16</v>
      </c>
      <c r="O4" s="5" t="str">
        <f>"000222"</f>
        <v>000222</v>
      </c>
      <c r="P4" s="4">
        <v>43194</v>
      </c>
      <c r="Q4" s="7">
        <v>19.350100000000001</v>
      </c>
      <c r="R4" s="7">
        <v>2.5859000000000001</v>
      </c>
      <c r="S4" s="7">
        <v>16.764199999999999</v>
      </c>
      <c r="T4" s="5">
        <v>9</v>
      </c>
      <c r="U4" s="4">
        <v>43200</v>
      </c>
      <c r="V4" s="5">
        <v>9448224553</v>
      </c>
      <c r="W4" s="6" t="s">
        <v>77</v>
      </c>
      <c r="X4" s="5" t="s">
        <v>45</v>
      </c>
      <c r="Y4" s="6" t="s">
        <v>44</v>
      </c>
      <c r="Z4" s="5" t="s">
        <v>64</v>
      </c>
      <c r="AA4" s="6" t="s">
        <v>65</v>
      </c>
      <c r="AB4" s="7">
        <v>0.19350100000000001</v>
      </c>
      <c r="AD4" s="8"/>
      <c r="AF4" s="8"/>
      <c r="AG4" s="8"/>
    </row>
    <row r="5" spans="1:33" x14ac:dyDescent="0.2">
      <c r="A5" s="12">
        <v>528</v>
      </c>
      <c r="B5" s="13" t="s">
        <v>48</v>
      </c>
      <c r="C5" s="13">
        <v>43203</v>
      </c>
      <c r="D5" s="5">
        <v>82</v>
      </c>
      <c r="E5" s="6" t="s">
        <v>68</v>
      </c>
      <c r="F5" s="5" t="s">
        <v>78</v>
      </c>
      <c r="G5" s="6" t="s">
        <v>79</v>
      </c>
      <c r="H5" s="5" t="str">
        <f>"000049"</f>
        <v>000049</v>
      </c>
      <c r="I5" s="4">
        <v>42976</v>
      </c>
      <c r="J5" s="5" t="str">
        <f>"000099"</f>
        <v>000099</v>
      </c>
      <c r="K5" s="4">
        <v>43185</v>
      </c>
      <c r="L5" s="5" t="str">
        <f>"000278"</f>
        <v>000278</v>
      </c>
      <c r="M5" s="4">
        <v>43185</v>
      </c>
      <c r="N5" s="5">
        <v>17</v>
      </c>
      <c r="O5" s="5" t="str">
        <f>"000482"</f>
        <v>000482</v>
      </c>
      <c r="P5" s="4">
        <v>43201</v>
      </c>
      <c r="Q5" s="7">
        <v>9.4025200000000009</v>
      </c>
      <c r="R5" s="7">
        <v>0.89624999999999999</v>
      </c>
      <c r="S5" s="7">
        <v>8.5062700000000007</v>
      </c>
      <c r="T5" s="5">
        <v>16</v>
      </c>
      <c r="U5" s="4">
        <v>43203</v>
      </c>
      <c r="V5" s="5">
        <v>9945999388</v>
      </c>
      <c r="W5" s="6" t="s">
        <v>80</v>
      </c>
      <c r="X5" s="5" t="s">
        <v>47</v>
      </c>
      <c r="Y5" s="6" t="s">
        <v>46</v>
      </c>
      <c r="Z5" s="5" t="s">
        <v>64</v>
      </c>
      <c r="AA5" s="6" t="s">
        <v>65</v>
      </c>
      <c r="AB5" s="7">
        <v>9.4025200000000003E-2</v>
      </c>
      <c r="AD5" s="8"/>
      <c r="AF5" s="8"/>
      <c r="AG5" s="8"/>
    </row>
    <row r="6" spans="1:33" x14ac:dyDescent="0.2">
      <c r="A6" s="12">
        <v>529</v>
      </c>
      <c r="B6" s="13" t="s">
        <v>48</v>
      </c>
      <c r="C6" s="13">
        <v>43203</v>
      </c>
      <c r="D6" s="5">
        <v>82</v>
      </c>
      <c r="E6" s="6" t="s">
        <v>68</v>
      </c>
      <c r="F6" s="5" t="s">
        <v>81</v>
      </c>
      <c r="G6" s="6" t="s">
        <v>82</v>
      </c>
      <c r="H6" s="5" t="str">
        <f>"000129"</f>
        <v>000129</v>
      </c>
      <c r="I6" s="4">
        <v>42891</v>
      </c>
      <c r="J6" s="5" t="str">
        <f>"000096"</f>
        <v>000096</v>
      </c>
      <c r="K6" s="4">
        <v>43179</v>
      </c>
      <c r="L6" s="5" t="str">
        <f>"000277"</f>
        <v>000277</v>
      </c>
      <c r="M6" s="4">
        <v>43185</v>
      </c>
      <c r="N6" s="5">
        <v>17</v>
      </c>
      <c r="O6" s="5" t="str">
        <f>"000488"</f>
        <v>000488</v>
      </c>
      <c r="P6" s="4">
        <v>43202</v>
      </c>
      <c r="Q6" s="7">
        <v>17.84046</v>
      </c>
      <c r="R6" s="7">
        <v>1.68232</v>
      </c>
      <c r="S6" s="7">
        <v>16.15814</v>
      </c>
      <c r="T6" s="5">
        <v>16</v>
      </c>
      <c r="U6" s="4">
        <v>43203</v>
      </c>
      <c r="V6" s="5">
        <v>7204663999</v>
      </c>
      <c r="W6" s="6" t="s">
        <v>83</v>
      </c>
      <c r="X6" s="5" t="s">
        <v>47</v>
      </c>
      <c r="Y6" s="6" t="s">
        <v>46</v>
      </c>
      <c r="Z6" s="5" t="s">
        <v>64</v>
      </c>
      <c r="AA6" s="6" t="s">
        <v>65</v>
      </c>
      <c r="AB6" s="7">
        <v>0.1784046</v>
      </c>
      <c r="AD6" s="8"/>
      <c r="AF6" s="8"/>
      <c r="AG6" s="8"/>
    </row>
    <row r="7" spans="1:33" x14ac:dyDescent="0.2">
      <c r="A7" s="12">
        <v>530</v>
      </c>
      <c r="B7" s="13" t="s">
        <v>48</v>
      </c>
      <c r="C7" s="13">
        <v>43203</v>
      </c>
      <c r="D7" s="5">
        <v>82</v>
      </c>
      <c r="E7" s="6" t="s">
        <v>68</v>
      </c>
      <c r="F7" s="5" t="s">
        <v>84</v>
      </c>
      <c r="G7" s="6" t="s">
        <v>85</v>
      </c>
      <c r="H7" s="5" t="str">
        <f>"000128"</f>
        <v>000128</v>
      </c>
      <c r="I7" s="4">
        <v>42891</v>
      </c>
      <c r="J7" s="5" t="str">
        <f>"000098"</f>
        <v>000098</v>
      </c>
      <c r="K7" s="4">
        <v>43185</v>
      </c>
      <c r="L7" s="5" t="str">
        <f>"000276"</f>
        <v>000276</v>
      </c>
      <c r="M7" s="4">
        <v>43185</v>
      </c>
      <c r="N7" s="5">
        <v>17</v>
      </c>
      <c r="O7" s="5" t="str">
        <f>"000489"</f>
        <v>000489</v>
      </c>
      <c r="P7" s="4">
        <v>43202</v>
      </c>
      <c r="Q7" s="7">
        <v>17.643160000000002</v>
      </c>
      <c r="R7" s="7">
        <v>1.67293</v>
      </c>
      <c r="S7" s="7">
        <v>15.970230000000001</v>
      </c>
      <c r="T7" s="5">
        <v>16</v>
      </c>
      <c r="U7" s="4">
        <v>43203</v>
      </c>
      <c r="V7" s="5">
        <v>7204663999</v>
      </c>
      <c r="W7" s="6" t="s">
        <v>83</v>
      </c>
      <c r="X7" s="5" t="s">
        <v>47</v>
      </c>
      <c r="Y7" s="6" t="s">
        <v>46</v>
      </c>
      <c r="Z7" s="5" t="s">
        <v>64</v>
      </c>
      <c r="AA7" s="6" t="s">
        <v>65</v>
      </c>
      <c r="AB7" s="7">
        <v>0.17643160000000002</v>
      </c>
      <c r="AD7" s="8"/>
      <c r="AF7" s="8"/>
      <c r="AG7" s="8"/>
    </row>
    <row r="8" spans="1:33" x14ac:dyDescent="0.2">
      <c r="A8" s="12">
        <v>719</v>
      </c>
      <c r="B8" s="13" t="s">
        <v>48</v>
      </c>
      <c r="C8" s="13">
        <v>43216</v>
      </c>
      <c r="D8" s="5">
        <v>82</v>
      </c>
      <c r="E8" s="6" t="s">
        <v>68</v>
      </c>
      <c r="F8" s="5" t="s">
        <v>86</v>
      </c>
      <c r="G8" s="6" t="s">
        <v>87</v>
      </c>
      <c r="H8" s="5" t="str">
        <f>"000151"</f>
        <v>000151</v>
      </c>
      <c r="I8" s="4">
        <v>42587</v>
      </c>
      <c r="J8" s="5" t="str">
        <f>"000153"</f>
        <v>000153</v>
      </c>
      <c r="K8" s="4">
        <v>42689</v>
      </c>
      <c r="L8" s="5" t="str">
        <f>"000428"</f>
        <v>000428</v>
      </c>
      <c r="M8" s="4">
        <v>42703</v>
      </c>
      <c r="N8" s="5">
        <v>16</v>
      </c>
      <c r="O8" s="5" t="str">
        <f>"000674"</f>
        <v>000674</v>
      </c>
      <c r="P8" s="4">
        <v>43215</v>
      </c>
      <c r="Q8" s="7">
        <v>7.7729299999999997</v>
      </c>
      <c r="R8" s="7">
        <v>0.88831000000000004</v>
      </c>
      <c r="S8" s="7">
        <v>6.88462</v>
      </c>
      <c r="T8" s="5">
        <v>28</v>
      </c>
      <c r="U8" s="4">
        <v>43216</v>
      </c>
      <c r="V8" s="5">
        <v>9341482424</v>
      </c>
      <c r="W8" s="6" t="s">
        <v>88</v>
      </c>
      <c r="X8" s="5" t="s">
        <v>31</v>
      </c>
      <c r="Y8" s="6" t="s">
        <v>32</v>
      </c>
      <c r="Z8" s="5" t="s">
        <v>64</v>
      </c>
      <c r="AA8" s="6" t="s">
        <v>65</v>
      </c>
      <c r="AB8" s="7">
        <v>7.7729300000000001E-2</v>
      </c>
      <c r="AD8" s="8"/>
      <c r="AF8" s="8"/>
      <c r="AG8" s="8"/>
    </row>
    <row r="9" spans="1:33" x14ac:dyDescent="0.2">
      <c r="A9" s="12">
        <v>1318</v>
      </c>
      <c r="B9" s="13" t="s">
        <v>37</v>
      </c>
      <c r="C9" s="13">
        <v>43241</v>
      </c>
      <c r="D9" s="5">
        <v>82</v>
      </c>
      <c r="E9" s="6" t="s">
        <v>68</v>
      </c>
      <c r="F9" s="5" t="s">
        <v>89</v>
      </c>
      <c r="G9" s="6" t="s">
        <v>90</v>
      </c>
      <c r="H9" s="5" t="str">
        <f>"000138"</f>
        <v>000138</v>
      </c>
      <c r="I9" s="4">
        <v>42903</v>
      </c>
      <c r="J9" s="5" t="str">
        <f>"000104"</f>
        <v>000104</v>
      </c>
      <c r="K9" s="4">
        <v>43190</v>
      </c>
      <c r="L9" s="5" t="str">
        <f>"000286"</f>
        <v>000286</v>
      </c>
      <c r="M9" s="4">
        <v>43190</v>
      </c>
      <c r="N9" s="5">
        <v>17</v>
      </c>
      <c r="O9" s="5" t="str">
        <f>"001648"</f>
        <v>001648</v>
      </c>
      <c r="P9" s="4">
        <v>43239</v>
      </c>
      <c r="Q9" s="7">
        <v>19.91778</v>
      </c>
      <c r="R9" s="7">
        <v>1.99315</v>
      </c>
      <c r="S9" s="7">
        <v>17.924630000000001</v>
      </c>
      <c r="T9" s="5">
        <v>55</v>
      </c>
      <c r="U9" s="4">
        <v>43241</v>
      </c>
      <c r="V9" s="5">
        <v>9480828222</v>
      </c>
      <c r="W9" s="6" t="s">
        <v>54</v>
      </c>
      <c r="X9" s="5" t="s">
        <v>28</v>
      </c>
      <c r="Y9" s="6" t="s">
        <v>29</v>
      </c>
      <c r="Z9" s="5" t="s">
        <v>64</v>
      </c>
      <c r="AA9" s="6" t="s">
        <v>65</v>
      </c>
      <c r="AB9" s="7">
        <v>0.19917780000000002</v>
      </c>
      <c r="AD9" s="8"/>
      <c r="AF9" s="8"/>
      <c r="AG9" s="8"/>
    </row>
    <row r="10" spans="1:33" x14ac:dyDescent="0.2">
      <c r="A10" s="12">
        <v>1319</v>
      </c>
      <c r="B10" s="13" t="s">
        <v>37</v>
      </c>
      <c r="C10" s="13">
        <v>43241</v>
      </c>
      <c r="D10" s="5">
        <v>82</v>
      </c>
      <c r="E10" s="6" t="s">
        <v>68</v>
      </c>
      <c r="F10" s="5" t="s">
        <v>91</v>
      </c>
      <c r="G10" s="6" t="s">
        <v>92</v>
      </c>
      <c r="H10" s="5" t="str">
        <f>"000141"</f>
        <v>000141</v>
      </c>
      <c r="I10" s="4">
        <v>42903</v>
      </c>
      <c r="J10" s="5" t="str">
        <f>"000103"</f>
        <v>000103</v>
      </c>
      <c r="K10" s="4">
        <v>43190</v>
      </c>
      <c r="L10" s="5" t="str">
        <f>"000285"</f>
        <v>000285</v>
      </c>
      <c r="M10" s="4">
        <v>43190</v>
      </c>
      <c r="N10" s="5">
        <v>17</v>
      </c>
      <c r="O10" s="5" t="str">
        <f>"001651"</f>
        <v>001651</v>
      </c>
      <c r="P10" s="4">
        <v>43239</v>
      </c>
      <c r="Q10" s="7">
        <v>19.91216</v>
      </c>
      <c r="R10" s="7">
        <v>2.0326900000000001</v>
      </c>
      <c r="S10" s="7">
        <v>17.879470000000001</v>
      </c>
      <c r="T10" s="5">
        <v>55</v>
      </c>
      <c r="U10" s="4">
        <v>43241</v>
      </c>
      <c r="V10" s="5">
        <v>9480828222</v>
      </c>
      <c r="W10" s="6" t="s">
        <v>54</v>
      </c>
      <c r="X10" s="5" t="s">
        <v>28</v>
      </c>
      <c r="Y10" s="6" t="s">
        <v>29</v>
      </c>
      <c r="Z10" s="5" t="s">
        <v>64</v>
      </c>
      <c r="AA10" s="6" t="s">
        <v>65</v>
      </c>
      <c r="AB10" s="7">
        <v>0.19912160000000001</v>
      </c>
      <c r="AD10" s="8"/>
      <c r="AF10" s="8"/>
      <c r="AG10" s="8"/>
    </row>
    <row r="11" spans="1:33" x14ac:dyDescent="0.2">
      <c r="A11" s="12">
        <v>1435</v>
      </c>
      <c r="B11" s="13" t="s">
        <v>37</v>
      </c>
      <c r="C11" s="13">
        <v>43242</v>
      </c>
      <c r="D11" s="5">
        <v>82</v>
      </c>
      <c r="E11" s="6" t="s">
        <v>68</v>
      </c>
      <c r="F11" s="5" t="s">
        <v>93</v>
      </c>
      <c r="G11" s="6" t="s">
        <v>94</v>
      </c>
      <c r="H11" s="5" t="str">
        <f>"000180"</f>
        <v>000180</v>
      </c>
      <c r="I11" s="4">
        <v>42457</v>
      </c>
      <c r="J11" s="5" t="str">
        <f>"000198"</f>
        <v>000198</v>
      </c>
      <c r="K11" s="4">
        <v>42765</v>
      </c>
      <c r="L11" s="5" t="str">
        <f>"000530"</f>
        <v>000530</v>
      </c>
      <c r="M11" s="4">
        <v>42766</v>
      </c>
      <c r="N11" s="5">
        <v>16</v>
      </c>
      <c r="O11" s="5" t="str">
        <f>"001523"</f>
        <v>001523</v>
      </c>
      <c r="P11" s="4">
        <v>43238</v>
      </c>
      <c r="Q11" s="7">
        <v>9.12561</v>
      </c>
      <c r="R11" s="7">
        <v>1.15117</v>
      </c>
      <c r="S11" s="7">
        <v>7.9744400000000004</v>
      </c>
      <c r="T11" s="5">
        <v>59</v>
      </c>
      <c r="U11" s="4">
        <v>43242</v>
      </c>
      <c r="V11" s="5">
        <v>9342551777</v>
      </c>
      <c r="W11" s="6" t="s">
        <v>66</v>
      </c>
      <c r="X11" s="5" t="s">
        <v>31</v>
      </c>
      <c r="Y11" s="6" t="s">
        <v>32</v>
      </c>
      <c r="Z11" s="5" t="s">
        <v>64</v>
      </c>
      <c r="AA11" s="6" t="s">
        <v>65</v>
      </c>
      <c r="AB11" s="7">
        <v>9.1256100000000007E-2</v>
      </c>
      <c r="AD11" s="8"/>
      <c r="AF11" s="8"/>
      <c r="AG11" s="8"/>
    </row>
    <row r="12" spans="1:33" x14ac:dyDescent="0.2">
      <c r="A12" s="12">
        <v>1436</v>
      </c>
      <c r="B12" s="13" t="s">
        <v>37</v>
      </c>
      <c r="C12" s="13">
        <v>43242</v>
      </c>
      <c r="D12" s="5">
        <v>82</v>
      </c>
      <c r="E12" s="6" t="s">
        <v>68</v>
      </c>
      <c r="F12" s="5" t="s">
        <v>95</v>
      </c>
      <c r="G12" s="6" t="s">
        <v>96</v>
      </c>
      <c r="H12" s="5" t="str">
        <f>"000164"</f>
        <v>000164</v>
      </c>
      <c r="I12" s="4">
        <v>41624</v>
      </c>
      <c r="J12" s="5" t="str">
        <f>"000195"</f>
        <v>000195</v>
      </c>
      <c r="K12" s="4">
        <v>42759</v>
      </c>
      <c r="L12" s="5" t="str">
        <f>"000602"</f>
        <v>000602</v>
      </c>
      <c r="M12" s="4">
        <v>42794</v>
      </c>
      <c r="N12" s="5">
        <v>14</v>
      </c>
      <c r="O12" s="5" t="str">
        <f>"001560"</f>
        <v>001560</v>
      </c>
      <c r="P12" s="4">
        <v>43238</v>
      </c>
      <c r="Q12" s="7">
        <v>9.51023</v>
      </c>
      <c r="R12" s="7">
        <v>1.08464</v>
      </c>
      <c r="S12" s="7">
        <v>8.4255899999999997</v>
      </c>
      <c r="T12" s="5">
        <v>59</v>
      </c>
      <c r="U12" s="4">
        <v>43242</v>
      </c>
      <c r="V12" s="5">
        <v>9731299925</v>
      </c>
      <c r="W12" s="6" t="s">
        <v>97</v>
      </c>
      <c r="X12" s="5" t="s">
        <v>31</v>
      </c>
      <c r="Y12" s="6" t="s">
        <v>32</v>
      </c>
      <c r="Z12" s="5" t="s">
        <v>64</v>
      </c>
      <c r="AA12" s="6" t="s">
        <v>65</v>
      </c>
      <c r="AB12" s="7">
        <v>9.5102300000000001E-2</v>
      </c>
      <c r="AD12" s="8"/>
      <c r="AF12" s="8"/>
      <c r="AG12" s="8"/>
    </row>
    <row r="13" spans="1:33" x14ac:dyDescent="0.2">
      <c r="A13" s="12">
        <v>1437</v>
      </c>
      <c r="B13" s="13" t="s">
        <v>37</v>
      </c>
      <c r="C13" s="13">
        <v>43242</v>
      </c>
      <c r="D13" s="5">
        <v>82</v>
      </c>
      <c r="E13" s="6" t="s">
        <v>68</v>
      </c>
      <c r="F13" s="5" t="s">
        <v>98</v>
      </c>
      <c r="G13" s="6" t="s">
        <v>99</v>
      </c>
      <c r="H13" s="5" t="str">
        <f>"000162"</f>
        <v>000162</v>
      </c>
      <c r="I13" s="4">
        <v>41624</v>
      </c>
      <c r="J13" s="5" t="str">
        <f>"000194"</f>
        <v>000194</v>
      </c>
      <c r="K13" s="4">
        <v>42759</v>
      </c>
      <c r="L13" s="5" t="str">
        <f>"000603"</f>
        <v>000603</v>
      </c>
      <c r="M13" s="4">
        <v>42794</v>
      </c>
      <c r="N13" s="5">
        <v>14</v>
      </c>
      <c r="O13" s="5" t="str">
        <f>"001561"</f>
        <v>001561</v>
      </c>
      <c r="P13" s="4">
        <v>43238</v>
      </c>
      <c r="Q13" s="7">
        <v>3.5928</v>
      </c>
      <c r="R13" s="7">
        <v>0.53596999999999995</v>
      </c>
      <c r="S13" s="7">
        <v>3.0568300000000002</v>
      </c>
      <c r="T13" s="5">
        <v>59</v>
      </c>
      <c r="U13" s="4">
        <v>43242</v>
      </c>
      <c r="V13" s="5">
        <v>9731299925</v>
      </c>
      <c r="W13" s="6" t="s">
        <v>97</v>
      </c>
      <c r="X13" s="5" t="s">
        <v>31</v>
      </c>
      <c r="Y13" s="6" t="s">
        <v>32</v>
      </c>
      <c r="Z13" s="5" t="s">
        <v>64</v>
      </c>
      <c r="AA13" s="6" t="s">
        <v>65</v>
      </c>
      <c r="AB13" s="7">
        <v>3.5928000000000002E-2</v>
      </c>
      <c r="AD13" s="8"/>
      <c r="AF13" s="8"/>
      <c r="AG13" s="8"/>
    </row>
    <row r="14" spans="1:33" x14ac:dyDescent="0.2">
      <c r="A14" s="12">
        <v>1532</v>
      </c>
      <c r="B14" s="13" t="s">
        <v>37</v>
      </c>
      <c r="C14" s="13">
        <v>43251</v>
      </c>
      <c r="D14" s="5">
        <v>82</v>
      </c>
      <c r="E14" s="6" t="s">
        <v>68</v>
      </c>
      <c r="F14" s="5" t="s">
        <v>100</v>
      </c>
      <c r="G14" s="6" t="s">
        <v>101</v>
      </c>
      <c r="H14" s="5" t="str">
        <f>"000084"</f>
        <v>000084</v>
      </c>
      <c r="I14" s="4">
        <v>42411</v>
      </c>
      <c r="J14" s="5" t="str">
        <f>"000139"</f>
        <v>000139</v>
      </c>
      <c r="K14" s="4">
        <v>42489</v>
      </c>
      <c r="L14" s="5" t="str">
        <f>"000012"</f>
        <v>000012</v>
      </c>
      <c r="M14" s="4">
        <v>42489</v>
      </c>
      <c r="N14" s="5">
        <v>15</v>
      </c>
      <c r="O14" s="5" t="str">
        <f>"006764"</f>
        <v>006764</v>
      </c>
      <c r="P14" s="4">
        <v>43021</v>
      </c>
      <c r="Q14" s="7">
        <v>5.9469200000000004</v>
      </c>
      <c r="R14" s="7">
        <v>0.6885</v>
      </c>
      <c r="S14" s="7">
        <v>5.2584200000000001</v>
      </c>
      <c r="T14" s="5">
        <v>67</v>
      </c>
      <c r="U14" s="4">
        <v>43251</v>
      </c>
      <c r="V14" s="5">
        <v>9341218941</v>
      </c>
      <c r="W14" s="6" t="s">
        <v>102</v>
      </c>
      <c r="X14" s="5" t="s">
        <v>31</v>
      </c>
      <c r="Y14" s="6" t="s">
        <v>32</v>
      </c>
      <c r="Z14" s="5" t="s">
        <v>64</v>
      </c>
      <c r="AA14" s="6" t="s">
        <v>65</v>
      </c>
      <c r="AB14" s="7">
        <v>5.9469200000000007E-2</v>
      </c>
      <c r="AD14" s="8"/>
      <c r="AF14" s="8"/>
      <c r="AG14" s="8"/>
    </row>
    <row r="15" spans="1:33" x14ac:dyDescent="0.2">
      <c r="A15" s="12">
        <v>1533</v>
      </c>
      <c r="B15" s="13" t="s">
        <v>37</v>
      </c>
      <c r="C15" s="13">
        <v>43251</v>
      </c>
      <c r="D15" s="5">
        <v>82</v>
      </c>
      <c r="E15" s="6" t="s">
        <v>68</v>
      </c>
      <c r="F15" s="5" t="s">
        <v>103</v>
      </c>
      <c r="G15" s="6" t="s">
        <v>104</v>
      </c>
      <c r="H15" s="5" t="str">
        <f>"000120"</f>
        <v>000120</v>
      </c>
      <c r="I15" s="4">
        <v>42444</v>
      </c>
      <c r="J15" s="5" t="str">
        <f>"000109"</f>
        <v>000109</v>
      </c>
      <c r="K15" s="4">
        <v>42613</v>
      </c>
      <c r="L15" s="5" t="str">
        <f>"000339"</f>
        <v>000339</v>
      </c>
      <c r="M15" s="4">
        <v>42613</v>
      </c>
      <c r="N15" s="5">
        <v>16</v>
      </c>
      <c r="O15" s="5" t="str">
        <f>"001951"</f>
        <v>001951</v>
      </c>
      <c r="P15" s="4">
        <v>43246</v>
      </c>
      <c r="Q15" s="7">
        <v>9.8558199999999996</v>
      </c>
      <c r="R15" s="7">
        <v>1.30505</v>
      </c>
      <c r="S15" s="7">
        <v>8.55077</v>
      </c>
      <c r="T15" s="5">
        <v>67</v>
      </c>
      <c r="U15" s="4">
        <v>43251</v>
      </c>
      <c r="V15" s="5">
        <v>9341218941</v>
      </c>
      <c r="W15" s="6" t="s">
        <v>105</v>
      </c>
      <c r="X15" s="5" t="s">
        <v>45</v>
      </c>
      <c r="Y15" s="6" t="s">
        <v>44</v>
      </c>
      <c r="Z15" s="5" t="s">
        <v>64</v>
      </c>
      <c r="AA15" s="6" t="s">
        <v>65</v>
      </c>
      <c r="AB15" s="7">
        <v>9.8558199999999999E-2</v>
      </c>
      <c r="AD15" s="8"/>
      <c r="AF15" s="8"/>
      <c r="AG15" s="8"/>
    </row>
    <row r="16" spans="1:33" x14ac:dyDescent="0.2">
      <c r="A16" s="12">
        <v>1808</v>
      </c>
      <c r="B16" s="13" t="s">
        <v>36</v>
      </c>
      <c r="C16" s="13">
        <v>43257</v>
      </c>
      <c r="D16" s="5">
        <v>82</v>
      </c>
      <c r="E16" s="6" t="s">
        <v>68</v>
      </c>
      <c r="F16" s="5" t="s">
        <v>106</v>
      </c>
      <c r="G16" s="6" t="s">
        <v>107</v>
      </c>
      <c r="H16" s="5" t="str">
        <f>"156"</f>
        <v>156</v>
      </c>
      <c r="I16" s="4">
        <v>1</v>
      </c>
      <c r="J16" s="5" t="str">
        <f>"000021"</f>
        <v>000021</v>
      </c>
      <c r="K16" s="4">
        <v>43238</v>
      </c>
      <c r="L16" s="5" t="str">
        <f>"000053"</f>
        <v>000053</v>
      </c>
      <c r="M16" s="4">
        <v>43238</v>
      </c>
      <c r="N16" s="5">
        <v>16</v>
      </c>
      <c r="O16" s="5" t="str">
        <f>"001987"</f>
        <v>001987</v>
      </c>
      <c r="P16" s="4">
        <v>43246</v>
      </c>
      <c r="Q16" s="7">
        <v>44.105960000000003</v>
      </c>
      <c r="R16" s="7">
        <v>1.2646500000000001</v>
      </c>
      <c r="S16" s="7">
        <v>42.84131</v>
      </c>
      <c r="T16" s="5">
        <v>70</v>
      </c>
      <c r="U16" s="4">
        <v>43257</v>
      </c>
      <c r="V16" s="5">
        <v>9845034278</v>
      </c>
      <c r="W16" s="6" t="s">
        <v>108</v>
      </c>
      <c r="X16" s="5" t="s">
        <v>42</v>
      </c>
      <c r="Y16" s="6" t="s">
        <v>41</v>
      </c>
      <c r="Z16" s="5" t="s">
        <v>64</v>
      </c>
      <c r="AA16" s="6" t="s">
        <v>65</v>
      </c>
      <c r="AB16" s="7">
        <v>0.44105960000000005</v>
      </c>
      <c r="AD16" s="8"/>
      <c r="AF16" s="8"/>
      <c r="AG16" s="8"/>
    </row>
    <row r="17" spans="1:33" x14ac:dyDescent="0.2">
      <c r="A17" s="12">
        <v>1809</v>
      </c>
      <c r="B17" s="13" t="s">
        <v>36</v>
      </c>
      <c r="C17" s="13">
        <v>43257</v>
      </c>
      <c r="D17" s="5">
        <v>82</v>
      </c>
      <c r="E17" s="6" t="s">
        <v>68</v>
      </c>
      <c r="F17" s="5" t="s">
        <v>109</v>
      </c>
      <c r="G17" s="6" t="s">
        <v>110</v>
      </c>
      <c r="H17" s="5" t="str">
        <f>"000047"</f>
        <v>000047</v>
      </c>
      <c r="I17" s="4">
        <v>42496</v>
      </c>
      <c r="J17" s="5" t="str">
        <f>"000124"</f>
        <v>000124</v>
      </c>
      <c r="K17" s="4">
        <v>42628</v>
      </c>
      <c r="L17" s="5" t="str">
        <f>"000363"</f>
        <v>000363</v>
      </c>
      <c r="M17" s="4">
        <v>42628</v>
      </c>
      <c r="N17" s="5">
        <v>16</v>
      </c>
      <c r="O17" s="5" t="str">
        <f>"002159"</f>
        <v>002159</v>
      </c>
      <c r="P17" s="4">
        <v>43255</v>
      </c>
      <c r="Q17" s="7">
        <v>26.080349999999999</v>
      </c>
      <c r="R17" s="7">
        <v>3.2934999999999999</v>
      </c>
      <c r="S17" s="7">
        <v>22.786850000000001</v>
      </c>
      <c r="T17" s="5">
        <v>71</v>
      </c>
      <c r="U17" s="4">
        <v>43257</v>
      </c>
      <c r="V17" s="5">
        <v>9902103553</v>
      </c>
      <c r="W17" s="6" t="s">
        <v>111</v>
      </c>
      <c r="X17" s="5" t="s">
        <v>51</v>
      </c>
      <c r="Y17" s="6" t="s">
        <v>50</v>
      </c>
      <c r="Z17" s="5" t="s">
        <v>64</v>
      </c>
      <c r="AA17" s="6" t="s">
        <v>65</v>
      </c>
      <c r="AB17" s="7">
        <v>0.26080349999999997</v>
      </c>
      <c r="AD17" s="8"/>
      <c r="AF17" s="8"/>
      <c r="AG17" s="8"/>
    </row>
    <row r="18" spans="1:33" x14ac:dyDescent="0.2">
      <c r="A18" s="12">
        <v>1810</v>
      </c>
      <c r="B18" s="13" t="s">
        <v>36</v>
      </c>
      <c r="C18" s="13">
        <v>43257</v>
      </c>
      <c r="D18" s="5">
        <v>82</v>
      </c>
      <c r="E18" s="6" t="s">
        <v>68</v>
      </c>
      <c r="F18" s="5" t="s">
        <v>112</v>
      </c>
      <c r="G18" s="6" t="s">
        <v>113</v>
      </c>
      <c r="H18" s="5" t="str">
        <f>"000053"</f>
        <v>000053</v>
      </c>
      <c r="I18" s="4">
        <v>42405</v>
      </c>
      <c r="J18" s="5" t="str">
        <f>"000126"</f>
        <v>000126</v>
      </c>
      <c r="K18" s="4">
        <v>42628</v>
      </c>
      <c r="L18" s="5" t="str">
        <f>"000366"</f>
        <v>000366</v>
      </c>
      <c r="M18" s="4">
        <v>42628</v>
      </c>
      <c r="N18" s="5">
        <v>16</v>
      </c>
      <c r="O18" s="5" t="str">
        <f>"002169"</f>
        <v>002169</v>
      </c>
      <c r="P18" s="4">
        <v>43255</v>
      </c>
      <c r="Q18" s="7">
        <v>10.45627</v>
      </c>
      <c r="R18" s="7">
        <v>1.3665400000000001</v>
      </c>
      <c r="S18" s="7">
        <v>9.0897299999999994</v>
      </c>
      <c r="T18" s="5">
        <v>71</v>
      </c>
      <c r="U18" s="4">
        <v>43257</v>
      </c>
      <c r="V18" s="5">
        <v>9844409319</v>
      </c>
      <c r="W18" s="6" t="s">
        <v>114</v>
      </c>
      <c r="X18" s="5" t="s">
        <v>31</v>
      </c>
      <c r="Y18" s="6" t="s">
        <v>32</v>
      </c>
      <c r="Z18" s="5" t="s">
        <v>64</v>
      </c>
      <c r="AA18" s="6" t="s">
        <v>65</v>
      </c>
      <c r="AB18" s="7">
        <v>0.10456269999999999</v>
      </c>
      <c r="AD18" s="8"/>
      <c r="AF18" s="8"/>
      <c r="AG18" s="8"/>
    </row>
    <row r="19" spans="1:33" x14ac:dyDescent="0.2">
      <c r="A19" s="12">
        <v>1811</v>
      </c>
      <c r="B19" s="13" t="s">
        <v>36</v>
      </c>
      <c r="C19" s="13">
        <v>43257</v>
      </c>
      <c r="D19" s="5">
        <v>82</v>
      </c>
      <c r="E19" s="6" t="s">
        <v>68</v>
      </c>
      <c r="F19" s="5" t="s">
        <v>115</v>
      </c>
      <c r="G19" s="6" t="s">
        <v>116</v>
      </c>
      <c r="H19" s="5" t="str">
        <f>"000052"</f>
        <v>000052</v>
      </c>
      <c r="I19" s="4">
        <v>42405</v>
      </c>
      <c r="J19" s="5" t="str">
        <f>"000127"</f>
        <v>000127</v>
      </c>
      <c r="K19" s="4">
        <v>42628</v>
      </c>
      <c r="L19" s="5" t="str">
        <f>"000367"</f>
        <v>000367</v>
      </c>
      <c r="M19" s="4">
        <v>42628</v>
      </c>
      <c r="N19" s="5">
        <v>16</v>
      </c>
      <c r="O19" s="5" t="str">
        <f>"002170"</f>
        <v>002170</v>
      </c>
      <c r="P19" s="4">
        <v>43255</v>
      </c>
      <c r="Q19" s="7">
        <v>10.39404</v>
      </c>
      <c r="R19" s="7">
        <v>1.35951</v>
      </c>
      <c r="S19" s="7">
        <v>9.0345300000000002</v>
      </c>
      <c r="T19" s="5">
        <v>71</v>
      </c>
      <c r="U19" s="4">
        <v>43257</v>
      </c>
      <c r="V19" s="5">
        <v>9844409319</v>
      </c>
      <c r="W19" s="6" t="s">
        <v>117</v>
      </c>
      <c r="X19" s="5" t="s">
        <v>31</v>
      </c>
      <c r="Y19" s="6" t="s">
        <v>32</v>
      </c>
      <c r="Z19" s="5" t="s">
        <v>64</v>
      </c>
      <c r="AA19" s="6" t="s">
        <v>65</v>
      </c>
      <c r="AB19" s="7">
        <v>0.1039404</v>
      </c>
      <c r="AD19" s="8"/>
      <c r="AF19" s="8"/>
      <c r="AG19" s="8"/>
    </row>
    <row r="20" spans="1:33" x14ac:dyDescent="0.2">
      <c r="A20" s="12">
        <v>2029</v>
      </c>
      <c r="B20" s="13" t="s">
        <v>36</v>
      </c>
      <c r="C20" s="13">
        <v>43262</v>
      </c>
      <c r="D20" s="5">
        <v>82</v>
      </c>
      <c r="E20" s="6" t="s">
        <v>68</v>
      </c>
      <c r="F20" s="5" t="s">
        <v>118</v>
      </c>
      <c r="G20" s="6" t="s">
        <v>119</v>
      </c>
      <c r="H20" s="5" t="str">
        <f>"000056"</f>
        <v>000056</v>
      </c>
      <c r="I20" s="4">
        <v>42405</v>
      </c>
      <c r="J20" s="5" t="str">
        <f>"000117"</f>
        <v>000117</v>
      </c>
      <c r="K20" s="4">
        <v>42613</v>
      </c>
      <c r="L20" s="5" t="str">
        <f>"000347"</f>
        <v>000347</v>
      </c>
      <c r="M20" s="4">
        <v>42621</v>
      </c>
      <c r="N20" s="5">
        <v>16</v>
      </c>
      <c r="O20" s="5" t="str">
        <f>"002317"</f>
        <v>002317</v>
      </c>
      <c r="P20" s="4">
        <v>43258</v>
      </c>
      <c r="Q20" s="7">
        <v>8.7126699999999992</v>
      </c>
      <c r="R20" s="7">
        <v>1.13951</v>
      </c>
      <c r="S20" s="7">
        <v>7.5731599999999997</v>
      </c>
      <c r="T20" s="5">
        <v>80</v>
      </c>
      <c r="U20" s="4">
        <v>43262</v>
      </c>
      <c r="V20" s="5">
        <v>9945999388</v>
      </c>
      <c r="W20" s="6" t="s">
        <v>120</v>
      </c>
      <c r="X20" s="5" t="s">
        <v>31</v>
      </c>
      <c r="Y20" s="6" t="s">
        <v>32</v>
      </c>
      <c r="Z20" s="5" t="s">
        <v>64</v>
      </c>
      <c r="AA20" s="6" t="s">
        <v>65</v>
      </c>
      <c r="AB20" s="7">
        <v>8.7126699999999987E-2</v>
      </c>
      <c r="AD20" s="8"/>
      <c r="AF20" s="8"/>
      <c r="AG20" s="8"/>
    </row>
    <row r="21" spans="1:33" x14ac:dyDescent="0.2">
      <c r="A21" s="12">
        <v>2030</v>
      </c>
      <c r="B21" s="13" t="s">
        <v>36</v>
      </c>
      <c r="C21" s="13">
        <v>43262</v>
      </c>
      <c r="D21" s="5">
        <v>82</v>
      </c>
      <c r="E21" s="6" t="s">
        <v>68</v>
      </c>
      <c r="F21" s="5" t="s">
        <v>121</v>
      </c>
      <c r="G21" s="6" t="s">
        <v>122</v>
      </c>
      <c r="H21" s="5" t="str">
        <f>"000123"</f>
        <v>000123</v>
      </c>
      <c r="I21" s="4">
        <v>42447</v>
      </c>
      <c r="J21" s="5" t="str">
        <f>"001016"</f>
        <v>001016</v>
      </c>
      <c r="K21" s="4">
        <v>42613</v>
      </c>
      <c r="L21" s="5" t="str">
        <f>"000348"</f>
        <v>000348</v>
      </c>
      <c r="M21" s="4">
        <v>42621</v>
      </c>
      <c r="N21" s="5">
        <v>16</v>
      </c>
      <c r="O21" s="5" t="str">
        <f>"002321"</f>
        <v>002321</v>
      </c>
      <c r="P21" s="4">
        <v>43258</v>
      </c>
      <c r="Q21" s="7">
        <v>19.844989999999999</v>
      </c>
      <c r="R21" s="7">
        <v>2.6122899999999998</v>
      </c>
      <c r="S21" s="7">
        <v>17.232700000000001</v>
      </c>
      <c r="T21" s="5">
        <v>80</v>
      </c>
      <c r="U21" s="4">
        <v>43262</v>
      </c>
      <c r="V21" s="5">
        <v>9880818290</v>
      </c>
      <c r="W21" s="6" t="s">
        <v>123</v>
      </c>
      <c r="X21" s="5" t="s">
        <v>45</v>
      </c>
      <c r="Y21" s="6" t="s">
        <v>44</v>
      </c>
      <c r="Z21" s="5" t="s">
        <v>64</v>
      </c>
      <c r="AA21" s="6" t="s">
        <v>65</v>
      </c>
      <c r="AB21" s="7">
        <v>0.19844989999999998</v>
      </c>
      <c r="AD21" s="8"/>
      <c r="AF21" s="8"/>
      <c r="AG21" s="8"/>
    </row>
    <row r="22" spans="1:33" x14ac:dyDescent="0.2">
      <c r="A22" s="12">
        <v>2321</v>
      </c>
      <c r="B22" s="13" t="s">
        <v>36</v>
      </c>
      <c r="C22" s="13">
        <v>43269</v>
      </c>
      <c r="D22" s="5">
        <v>82</v>
      </c>
      <c r="E22" s="6" t="s">
        <v>68</v>
      </c>
      <c r="F22" s="5" t="s">
        <v>124</v>
      </c>
      <c r="G22" s="6" t="s">
        <v>125</v>
      </c>
      <c r="H22" s="5" t="str">
        <f>"000"</f>
        <v>000</v>
      </c>
      <c r="I22" s="4">
        <v>47</v>
      </c>
      <c r="J22" s="5" t="str">
        <f>"000201"</f>
        <v>000201</v>
      </c>
      <c r="K22" s="4">
        <v>42765</v>
      </c>
      <c r="L22" s="5" t="str">
        <f>"000533"</f>
        <v>000533</v>
      </c>
      <c r="M22" s="4">
        <v>42766</v>
      </c>
      <c r="N22" s="5">
        <v>15</v>
      </c>
      <c r="O22" s="5" t="str">
        <f>"002545"</f>
        <v>002545</v>
      </c>
      <c r="P22" s="4">
        <v>43265</v>
      </c>
      <c r="Q22" s="7">
        <v>20.073409999999999</v>
      </c>
      <c r="R22" s="7">
        <v>2.2682799999999999</v>
      </c>
      <c r="S22" s="7">
        <v>17.805129999999998</v>
      </c>
      <c r="T22" s="5">
        <v>91</v>
      </c>
      <c r="U22" s="4">
        <v>43269</v>
      </c>
      <c r="V22" s="5">
        <v>9880446969</v>
      </c>
      <c r="W22" s="6" t="s">
        <v>126</v>
      </c>
      <c r="X22" s="5" t="s">
        <v>31</v>
      </c>
      <c r="Y22" s="6" t="s">
        <v>32</v>
      </c>
      <c r="Z22" s="5" t="s">
        <v>64</v>
      </c>
      <c r="AA22" s="6" t="s">
        <v>65</v>
      </c>
      <c r="AB22" s="7">
        <v>0.2007341</v>
      </c>
      <c r="AD22" s="8"/>
      <c r="AF22" s="8"/>
      <c r="AG22" s="8"/>
    </row>
    <row r="23" spans="1:33" x14ac:dyDescent="0.2">
      <c r="A23" s="12">
        <v>2859</v>
      </c>
      <c r="B23" s="13" t="s">
        <v>33</v>
      </c>
      <c r="C23" s="13">
        <v>43283</v>
      </c>
      <c r="D23" s="5">
        <v>82</v>
      </c>
      <c r="E23" s="6" t="s">
        <v>68</v>
      </c>
      <c r="F23" s="5" t="s">
        <v>69</v>
      </c>
      <c r="G23" s="6" t="s">
        <v>70</v>
      </c>
      <c r="H23" s="5" t="str">
        <f>"000174"</f>
        <v>000174</v>
      </c>
      <c r="I23" s="4">
        <v>43162</v>
      </c>
      <c r="J23" s="5" t="str">
        <f>"000022"</f>
        <v>000022</v>
      </c>
      <c r="K23" s="4">
        <v>43248</v>
      </c>
      <c r="L23" s="5" t="str">
        <f>"000054"</f>
        <v>000054</v>
      </c>
      <c r="M23" s="4">
        <v>43248</v>
      </c>
      <c r="N23" s="5">
        <v>16</v>
      </c>
      <c r="O23" s="5" t="str">
        <f>"003167"</f>
        <v>003167</v>
      </c>
      <c r="P23" s="4">
        <v>43280</v>
      </c>
      <c r="Q23" s="7">
        <v>26.346060000000001</v>
      </c>
      <c r="R23" s="7">
        <v>0.70594999999999997</v>
      </c>
      <c r="S23" s="7">
        <v>25.64011</v>
      </c>
      <c r="T23" s="5">
        <v>105</v>
      </c>
      <c r="U23" s="4">
        <v>43283</v>
      </c>
      <c r="V23" s="5">
        <v>9845034278</v>
      </c>
      <c r="W23" s="6" t="s">
        <v>71</v>
      </c>
      <c r="X23" s="5" t="s">
        <v>42</v>
      </c>
      <c r="Y23" s="6" t="s">
        <v>41</v>
      </c>
      <c r="Z23" s="5" t="s">
        <v>64</v>
      </c>
      <c r="AA23" s="6" t="s">
        <v>65</v>
      </c>
      <c r="AB23" s="7">
        <v>0.26346059999999999</v>
      </c>
      <c r="AD23" s="8"/>
      <c r="AF23" s="8"/>
      <c r="AG23" s="8"/>
    </row>
    <row r="24" spans="1:33" x14ac:dyDescent="0.2">
      <c r="A24" s="12">
        <v>3065</v>
      </c>
      <c r="B24" s="13" t="s">
        <v>33</v>
      </c>
      <c r="C24" s="13">
        <v>43287</v>
      </c>
      <c r="D24" s="5">
        <v>82</v>
      </c>
      <c r="E24" s="6" t="s">
        <v>68</v>
      </c>
      <c r="F24" s="5" t="s">
        <v>127</v>
      </c>
      <c r="G24" s="6" t="s">
        <v>128</v>
      </c>
      <c r="H24" s="5" t="str">
        <f>"000145"</f>
        <v>000145</v>
      </c>
      <c r="I24" s="4">
        <v>42564</v>
      </c>
      <c r="J24" s="5" t="str">
        <f>"000630"</f>
        <v>000630</v>
      </c>
      <c r="K24" s="4">
        <v>42809</v>
      </c>
      <c r="L24" s="5" t="str">
        <f>"000630"</f>
        <v>000630</v>
      </c>
      <c r="M24" s="4">
        <v>42809</v>
      </c>
      <c r="N24" s="5">
        <v>16</v>
      </c>
      <c r="O24" s="5" t="str">
        <f>"004933"</f>
        <v>004933</v>
      </c>
      <c r="P24" s="4">
        <v>43318</v>
      </c>
      <c r="Q24" s="7">
        <v>64.348519999999994</v>
      </c>
      <c r="R24" s="7">
        <v>9.0198400000000003</v>
      </c>
      <c r="S24" s="7">
        <v>55.328679999999999</v>
      </c>
      <c r="T24" s="5">
        <v>113</v>
      </c>
      <c r="U24" s="4">
        <v>43287</v>
      </c>
      <c r="V24" s="5">
        <v>9480828222</v>
      </c>
      <c r="W24" s="6" t="s">
        <v>49</v>
      </c>
      <c r="X24" s="5" t="s">
        <v>53</v>
      </c>
      <c r="Y24" s="6" t="s">
        <v>52</v>
      </c>
      <c r="Z24" s="5" t="s">
        <v>64</v>
      </c>
      <c r="AA24" s="6" t="s">
        <v>65</v>
      </c>
      <c r="AB24" s="7">
        <v>0.64348519999999998</v>
      </c>
      <c r="AD24" s="8"/>
      <c r="AF24" s="8"/>
      <c r="AG24" s="8"/>
    </row>
    <row r="25" spans="1:33" x14ac:dyDescent="0.2">
      <c r="A25" s="12">
        <v>3171</v>
      </c>
      <c r="B25" s="13" t="s">
        <v>33</v>
      </c>
      <c r="C25" s="13">
        <v>43290</v>
      </c>
      <c r="D25" s="5">
        <v>82</v>
      </c>
      <c r="E25" s="6" t="s">
        <v>68</v>
      </c>
      <c r="F25" s="5" t="s">
        <v>129</v>
      </c>
      <c r="G25" s="6" t="s">
        <v>130</v>
      </c>
      <c r="H25" s="5" t="str">
        <f>"000027"</f>
        <v>000027</v>
      </c>
      <c r="I25" s="4">
        <v>42467</v>
      </c>
      <c r="J25" s="5" t="str">
        <f>"000175"</f>
        <v>000175</v>
      </c>
      <c r="K25" s="4">
        <v>42704</v>
      </c>
      <c r="L25" s="5" t="str">
        <f>"000466"</f>
        <v>000466</v>
      </c>
      <c r="M25" s="4">
        <v>42712</v>
      </c>
      <c r="N25" s="5">
        <v>16</v>
      </c>
      <c r="O25" s="5" t="str">
        <f>"003388"</f>
        <v>003388</v>
      </c>
      <c r="P25" s="4">
        <v>43288</v>
      </c>
      <c r="Q25" s="7">
        <v>16.542649999999998</v>
      </c>
      <c r="R25" s="7">
        <v>2.1743000000000001</v>
      </c>
      <c r="S25" s="7">
        <v>14.36835</v>
      </c>
      <c r="T25" s="5">
        <v>117</v>
      </c>
      <c r="U25" s="4">
        <v>43290</v>
      </c>
      <c r="V25" s="5">
        <v>9964121710</v>
      </c>
      <c r="W25" s="6" t="s">
        <v>131</v>
      </c>
      <c r="X25" s="5" t="s">
        <v>45</v>
      </c>
      <c r="Y25" s="6" t="s">
        <v>44</v>
      </c>
      <c r="Z25" s="5" t="s">
        <v>64</v>
      </c>
      <c r="AA25" s="6" t="s">
        <v>65</v>
      </c>
      <c r="AB25" s="7">
        <v>0.16542649999999998</v>
      </c>
      <c r="AD25" s="8"/>
      <c r="AF25" s="8"/>
      <c r="AG25" s="8"/>
    </row>
    <row r="26" spans="1:33" x14ac:dyDescent="0.2">
      <c r="A26" s="12">
        <v>3172</v>
      </c>
      <c r="B26" s="13" t="s">
        <v>33</v>
      </c>
      <c r="C26" s="13">
        <v>43290</v>
      </c>
      <c r="D26" s="5">
        <v>82</v>
      </c>
      <c r="E26" s="6" t="s">
        <v>68</v>
      </c>
      <c r="F26" s="5" t="s">
        <v>132</v>
      </c>
      <c r="G26" s="6" t="s">
        <v>133</v>
      </c>
      <c r="H26" s="5" t="str">
        <f>"000169"</f>
        <v>000169</v>
      </c>
      <c r="I26" s="4">
        <v>41624</v>
      </c>
      <c r="J26" s="5" t="str">
        <f>"00"</f>
        <v>00</v>
      </c>
      <c r="K26" s="4">
        <v>145</v>
      </c>
      <c r="L26" s="5" t="str">
        <f>"000421"</f>
        <v>000421</v>
      </c>
      <c r="M26" s="4">
        <v>42698</v>
      </c>
      <c r="N26" s="5">
        <v>14</v>
      </c>
      <c r="O26" s="5" t="str">
        <f>"003432"</f>
        <v>003432</v>
      </c>
      <c r="P26" s="4">
        <v>43288</v>
      </c>
      <c r="Q26" s="7">
        <v>17.96039</v>
      </c>
      <c r="R26" s="7">
        <v>2.3394900000000001</v>
      </c>
      <c r="S26" s="7">
        <v>15.620900000000001</v>
      </c>
      <c r="T26" s="5">
        <v>117</v>
      </c>
      <c r="U26" s="4">
        <v>43290</v>
      </c>
      <c r="V26" s="5">
        <v>9620076179</v>
      </c>
      <c r="W26" s="6" t="s">
        <v>134</v>
      </c>
      <c r="X26" s="5" t="s">
        <v>31</v>
      </c>
      <c r="Y26" s="6" t="s">
        <v>32</v>
      </c>
      <c r="Z26" s="5" t="s">
        <v>64</v>
      </c>
      <c r="AA26" s="6" t="s">
        <v>65</v>
      </c>
      <c r="AB26" s="7">
        <v>0.17960390000000001</v>
      </c>
      <c r="AD26" s="8"/>
      <c r="AF26" s="8"/>
      <c r="AG26" s="8"/>
    </row>
    <row r="27" spans="1:33" x14ac:dyDescent="0.2">
      <c r="A27" s="12">
        <v>3173</v>
      </c>
      <c r="B27" s="13" t="s">
        <v>33</v>
      </c>
      <c r="C27" s="13">
        <v>43290</v>
      </c>
      <c r="D27" s="5">
        <v>82</v>
      </c>
      <c r="E27" s="6" t="s">
        <v>68</v>
      </c>
      <c r="F27" s="5" t="s">
        <v>135</v>
      </c>
      <c r="G27" s="6" t="s">
        <v>136</v>
      </c>
      <c r="H27" s="5" t="str">
        <f>"000045"</f>
        <v>000045</v>
      </c>
      <c r="I27" s="4">
        <v>42495</v>
      </c>
      <c r="J27" s="5" t="str">
        <f>"000173"</f>
        <v>000173</v>
      </c>
      <c r="K27" s="4">
        <v>42704</v>
      </c>
      <c r="L27" s="5" t="str">
        <f>"000464"</f>
        <v>000464</v>
      </c>
      <c r="M27" s="4">
        <v>42705</v>
      </c>
      <c r="N27" s="5">
        <v>16</v>
      </c>
      <c r="O27" s="5" t="str">
        <f>"003435"</f>
        <v>003435</v>
      </c>
      <c r="P27" s="4">
        <v>43288</v>
      </c>
      <c r="Q27" s="7">
        <v>24.951280000000001</v>
      </c>
      <c r="R27" s="7">
        <v>3.2394799999999999</v>
      </c>
      <c r="S27" s="7">
        <v>21.7118</v>
      </c>
      <c r="T27" s="5">
        <v>117</v>
      </c>
      <c r="U27" s="4">
        <v>43290</v>
      </c>
      <c r="V27" s="5">
        <v>9901652865</v>
      </c>
      <c r="W27" s="6" t="s">
        <v>137</v>
      </c>
      <c r="X27" s="5" t="s">
        <v>51</v>
      </c>
      <c r="Y27" s="6" t="s">
        <v>50</v>
      </c>
      <c r="Z27" s="5" t="s">
        <v>64</v>
      </c>
      <c r="AA27" s="6" t="s">
        <v>65</v>
      </c>
      <c r="AB27" s="7">
        <v>0.24951280000000001</v>
      </c>
      <c r="AD27" s="8"/>
      <c r="AF27" s="8"/>
      <c r="AG27" s="8"/>
    </row>
    <row r="28" spans="1:33" x14ac:dyDescent="0.2">
      <c r="A28" s="12">
        <v>3305</v>
      </c>
      <c r="B28" s="13" t="s">
        <v>33</v>
      </c>
      <c r="C28" s="13">
        <v>43297</v>
      </c>
      <c r="D28" s="5">
        <v>82</v>
      </c>
      <c r="E28" s="6" t="s">
        <v>68</v>
      </c>
      <c r="F28" s="5" t="s">
        <v>138</v>
      </c>
      <c r="G28" s="6" t="s">
        <v>139</v>
      </c>
      <c r="H28" s="5" t="str">
        <f>"00"</f>
        <v>00</v>
      </c>
      <c r="I28" s="4">
        <v>149</v>
      </c>
      <c r="J28" s="5" t="str">
        <f>"000157"</f>
        <v>000157</v>
      </c>
      <c r="K28" s="4">
        <v>42692</v>
      </c>
      <c r="L28" s="5" t="str">
        <f>"000480"</f>
        <v>000480</v>
      </c>
      <c r="M28" s="4">
        <v>42734</v>
      </c>
      <c r="N28" s="5">
        <v>16</v>
      </c>
      <c r="O28" s="5" t="str">
        <f>"003462"</f>
        <v>003462</v>
      </c>
      <c r="P28" s="4">
        <v>43291</v>
      </c>
      <c r="Q28" s="7">
        <v>26.062010000000001</v>
      </c>
      <c r="R28" s="7">
        <v>3.3250000000000002</v>
      </c>
      <c r="S28" s="7">
        <v>22.737010000000001</v>
      </c>
      <c r="T28" s="5">
        <v>125</v>
      </c>
      <c r="U28" s="4">
        <v>43297</v>
      </c>
      <c r="V28" s="5">
        <v>9900083697</v>
      </c>
      <c r="W28" s="6" t="s">
        <v>140</v>
      </c>
      <c r="X28" s="5" t="s">
        <v>51</v>
      </c>
      <c r="Y28" s="6" t="s">
        <v>50</v>
      </c>
      <c r="Z28" s="5" t="s">
        <v>64</v>
      </c>
      <c r="AA28" s="6" t="s">
        <v>65</v>
      </c>
      <c r="AB28" s="7">
        <v>0.26062010000000002</v>
      </c>
      <c r="AD28" s="8"/>
      <c r="AF28" s="8"/>
      <c r="AG28" s="8"/>
    </row>
    <row r="29" spans="1:33" x14ac:dyDescent="0.2">
      <c r="A29" s="12">
        <v>3306</v>
      </c>
      <c r="B29" s="13" t="s">
        <v>33</v>
      </c>
      <c r="C29" s="13">
        <v>43297</v>
      </c>
      <c r="D29" s="5">
        <v>82</v>
      </c>
      <c r="E29" s="6" t="s">
        <v>68</v>
      </c>
      <c r="F29" s="5" t="s">
        <v>141</v>
      </c>
      <c r="G29" s="6" t="s">
        <v>142</v>
      </c>
      <c r="H29" s="5" t="str">
        <f>"000148"</f>
        <v>000148</v>
      </c>
      <c r="I29" s="4">
        <v>42579</v>
      </c>
      <c r="J29" s="5" t="str">
        <f>"000156"</f>
        <v>000156</v>
      </c>
      <c r="K29" s="4">
        <v>42692</v>
      </c>
      <c r="L29" s="5" t="str">
        <f>"000481"</f>
        <v>000481</v>
      </c>
      <c r="M29" s="4">
        <v>42734</v>
      </c>
      <c r="N29" s="5">
        <v>16</v>
      </c>
      <c r="O29" s="5" t="str">
        <f>"003463"</f>
        <v>003463</v>
      </c>
      <c r="P29" s="4">
        <v>43291</v>
      </c>
      <c r="Q29" s="7">
        <v>20.184830000000002</v>
      </c>
      <c r="R29" s="7">
        <v>2.5808599999999999</v>
      </c>
      <c r="S29" s="7">
        <v>17.60397</v>
      </c>
      <c r="T29" s="5">
        <v>125</v>
      </c>
      <c r="U29" s="4">
        <v>43297</v>
      </c>
      <c r="V29" s="5">
        <v>9900083697</v>
      </c>
      <c r="W29" s="6" t="s">
        <v>140</v>
      </c>
      <c r="X29" s="5" t="s">
        <v>51</v>
      </c>
      <c r="Y29" s="6" t="s">
        <v>50</v>
      </c>
      <c r="Z29" s="5" t="s">
        <v>64</v>
      </c>
      <c r="AA29" s="6" t="s">
        <v>65</v>
      </c>
      <c r="AB29" s="7">
        <v>0.20184830000000001</v>
      </c>
      <c r="AD29" s="8"/>
      <c r="AF29" s="8"/>
      <c r="AG29" s="8"/>
    </row>
    <row r="30" spans="1:33" x14ac:dyDescent="0.2">
      <c r="A30" s="12">
        <v>3307</v>
      </c>
      <c r="B30" s="13" t="s">
        <v>33</v>
      </c>
      <c r="C30" s="13">
        <v>43297</v>
      </c>
      <c r="D30" s="5">
        <v>82</v>
      </c>
      <c r="E30" s="6" t="s">
        <v>68</v>
      </c>
      <c r="F30" s="5" t="s">
        <v>143</v>
      </c>
      <c r="G30" s="6" t="s">
        <v>144</v>
      </c>
      <c r="H30" s="5" t="str">
        <f>"000054"</f>
        <v>000054</v>
      </c>
      <c r="I30" s="4">
        <v>42405</v>
      </c>
      <c r="J30" s="5" t="str">
        <f>"000180"</f>
        <v>000180</v>
      </c>
      <c r="K30" s="4">
        <v>42734</v>
      </c>
      <c r="L30" s="5" t="str">
        <f>"000490"</f>
        <v>000490</v>
      </c>
      <c r="M30" s="4">
        <v>42734</v>
      </c>
      <c r="N30" s="5">
        <v>16</v>
      </c>
      <c r="O30" s="5" t="str">
        <f>"003464"</f>
        <v>003464</v>
      </c>
      <c r="P30" s="4">
        <v>43291</v>
      </c>
      <c r="Q30" s="7">
        <v>9.8689800000000005</v>
      </c>
      <c r="R30" s="7">
        <v>1.26515</v>
      </c>
      <c r="S30" s="7">
        <v>8.6038300000000003</v>
      </c>
      <c r="T30" s="5">
        <v>125</v>
      </c>
      <c r="U30" s="4">
        <v>43297</v>
      </c>
      <c r="V30" s="5">
        <v>7204663999</v>
      </c>
      <c r="W30" s="6" t="s">
        <v>145</v>
      </c>
      <c r="X30" s="5" t="s">
        <v>31</v>
      </c>
      <c r="Y30" s="6" t="s">
        <v>32</v>
      </c>
      <c r="Z30" s="5" t="s">
        <v>64</v>
      </c>
      <c r="AA30" s="6" t="s">
        <v>65</v>
      </c>
      <c r="AB30" s="7">
        <v>9.8689800000000008E-2</v>
      </c>
      <c r="AD30" s="8"/>
      <c r="AF30" s="8"/>
      <c r="AG30" s="8"/>
    </row>
    <row r="31" spans="1:33" x14ac:dyDescent="0.2">
      <c r="A31" s="12">
        <v>3308</v>
      </c>
      <c r="B31" s="13" t="s">
        <v>33</v>
      </c>
      <c r="C31" s="13">
        <v>43297</v>
      </c>
      <c r="D31" s="5">
        <v>82</v>
      </c>
      <c r="E31" s="6" t="s">
        <v>68</v>
      </c>
      <c r="F31" s="5" t="s">
        <v>146</v>
      </c>
      <c r="G31" s="6" t="s">
        <v>147</v>
      </c>
      <c r="H31" s="5" t="str">
        <f>"000051"</f>
        <v>000051</v>
      </c>
      <c r="I31" s="4">
        <v>42405</v>
      </c>
      <c r="J31" s="5" t="str">
        <f>"000181"</f>
        <v>000181</v>
      </c>
      <c r="K31" s="4">
        <v>42734</v>
      </c>
      <c r="L31" s="5" t="str">
        <f>"000491"</f>
        <v>000491</v>
      </c>
      <c r="M31" s="4">
        <v>42734</v>
      </c>
      <c r="N31" s="5">
        <v>16</v>
      </c>
      <c r="O31" s="5" t="str">
        <f>"003465"</f>
        <v>003465</v>
      </c>
      <c r="P31" s="4">
        <v>43291</v>
      </c>
      <c r="Q31" s="7">
        <v>14.87018</v>
      </c>
      <c r="R31" s="7">
        <v>1.9253100000000001</v>
      </c>
      <c r="S31" s="7">
        <v>12.94487</v>
      </c>
      <c r="T31" s="5">
        <v>125</v>
      </c>
      <c r="U31" s="4">
        <v>43297</v>
      </c>
      <c r="V31" s="5">
        <v>7204663999</v>
      </c>
      <c r="W31" s="6" t="s">
        <v>148</v>
      </c>
      <c r="X31" s="5" t="s">
        <v>31</v>
      </c>
      <c r="Y31" s="6" t="s">
        <v>32</v>
      </c>
      <c r="Z31" s="5" t="s">
        <v>64</v>
      </c>
      <c r="AA31" s="6" t="s">
        <v>65</v>
      </c>
      <c r="AB31" s="7">
        <v>0.1487018</v>
      </c>
      <c r="AD31" s="8"/>
      <c r="AF31" s="8"/>
      <c r="AG31" s="8"/>
    </row>
    <row r="32" spans="1:33" x14ac:dyDescent="0.2">
      <c r="A32" s="12">
        <v>3309</v>
      </c>
      <c r="B32" s="13" t="s">
        <v>33</v>
      </c>
      <c r="C32" s="13">
        <v>43297</v>
      </c>
      <c r="D32" s="5">
        <v>82</v>
      </c>
      <c r="E32" s="6" t="s">
        <v>68</v>
      </c>
      <c r="F32" s="5" t="s">
        <v>149</v>
      </c>
      <c r="G32" s="6" t="s">
        <v>150</v>
      </c>
      <c r="H32" s="5" t="str">
        <f>"000048"</f>
        <v>000048</v>
      </c>
      <c r="I32" s="4">
        <v>42497</v>
      </c>
      <c r="J32" s="5" t="str">
        <f>"010170"</f>
        <v>010170</v>
      </c>
      <c r="K32" s="4">
        <v>42704</v>
      </c>
      <c r="L32" s="5" t="str">
        <f>"000493"</f>
        <v>000493</v>
      </c>
      <c r="M32" s="4">
        <v>42734</v>
      </c>
      <c r="N32" s="5">
        <v>16</v>
      </c>
      <c r="O32" s="5" t="str">
        <f>"003503"</f>
        <v>003503</v>
      </c>
      <c r="P32" s="4">
        <v>43291</v>
      </c>
      <c r="Q32" s="7">
        <v>25.47458</v>
      </c>
      <c r="R32" s="7">
        <v>3.4636</v>
      </c>
      <c r="S32" s="7">
        <v>22.01098</v>
      </c>
      <c r="T32" s="5">
        <v>125</v>
      </c>
      <c r="U32" s="4">
        <v>43297</v>
      </c>
      <c r="V32" s="5">
        <v>9902103553</v>
      </c>
      <c r="W32" s="6" t="s">
        <v>151</v>
      </c>
      <c r="X32" s="5" t="s">
        <v>51</v>
      </c>
      <c r="Y32" s="6" t="s">
        <v>50</v>
      </c>
      <c r="Z32" s="5" t="s">
        <v>64</v>
      </c>
      <c r="AA32" s="6" t="s">
        <v>65</v>
      </c>
      <c r="AB32" s="7">
        <v>0.25474580000000002</v>
      </c>
      <c r="AD32" s="8"/>
      <c r="AF32" s="8"/>
      <c r="AG32" s="8"/>
    </row>
    <row r="33" spans="1:33" x14ac:dyDescent="0.2">
      <c r="A33" s="12">
        <v>3310</v>
      </c>
      <c r="B33" s="13" t="s">
        <v>33</v>
      </c>
      <c r="C33" s="13">
        <v>43297</v>
      </c>
      <c r="D33" s="5">
        <v>82</v>
      </c>
      <c r="E33" s="6" t="s">
        <v>68</v>
      </c>
      <c r="F33" s="5" t="s">
        <v>152</v>
      </c>
      <c r="G33" s="6" t="s">
        <v>153</v>
      </c>
      <c r="H33" s="5" t="str">
        <f>"000069"</f>
        <v>000069</v>
      </c>
      <c r="I33" s="4">
        <v>42094</v>
      </c>
      <c r="J33" s="5" t="str">
        <f>"000171"</f>
        <v>000171</v>
      </c>
      <c r="K33" s="4">
        <v>42704</v>
      </c>
      <c r="L33" s="5" t="str">
        <f>"000494"</f>
        <v>000494</v>
      </c>
      <c r="M33" s="4">
        <v>42734</v>
      </c>
      <c r="N33" s="5">
        <v>16</v>
      </c>
      <c r="O33" s="5" t="str">
        <f>"003504"</f>
        <v>003504</v>
      </c>
      <c r="P33" s="4">
        <v>43291</v>
      </c>
      <c r="Q33" s="7">
        <v>29.565850000000001</v>
      </c>
      <c r="R33" s="7">
        <v>4.13157</v>
      </c>
      <c r="S33" s="7">
        <v>25.434280000000001</v>
      </c>
      <c r="T33" s="5">
        <v>125</v>
      </c>
      <c r="U33" s="4">
        <v>43297</v>
      </c>
      <c r="V33" s="5">
        <v>9480828222</v>
      </c>
      <c r="W33" s="6" t="s">
        <v>154</v>
      </c>
      <c r="X33" s="5" t="s">
        <v>53</v>
      </c>
      <c r="Y33" s="6" t="s">
        <v>52</v>
      </c>
      <c r="Z33" s="5" t="s">
        <v>64</v>
      </c>
      <c r="AA33" s="6" t="s">
        <v>65</v>
      </c>
      <c r="AB33" s="7">
        <v>0.29565849999999999</v>
      </c>
      <c r="AD33" s="8"/>
      <c r="AF33" s="8"/>
      <c r="AG33" s="8"/>
    </row>
    <row r="34" spans="1:33" x14ac:dyDescent="0.2">
      <c r="A34" s="12">
        <v>3519</v>
      </c>
      <c r="B34" s="13" t="s">
        <v>33</v>
      </c>
      <c r="C34" s="13">
        <v>43299</v>
      </c>
      <c r="D34" s="5">
        <v>82</v>
      </c>
      <c r="E34" s="6" t="s">
        <v>68</v>
      </c>
      <c r="F34" s="5" t="s">
        <v>155</v>
      </c>
      <c r="G34" s="6" t="s">
        <v>156</v>
      </c>
      <c r="H34" s="5" t="str">
        <f>"000016"</f>
        <v>000016</v>
      </c>
      <c r="I34" s="4">
        <v>42949</v>
      </c>
      <c r="J34" s="5" t="str">
        <f>"000018"</f>
        <v>000018</v>
      </c>
      <c r="K34" s="4">
        <v>42949</v>
      </c>
      <c r="L34" s="5" t="str">
        <f>"000018"</f>
        <v>000018</v>
      </c>
      <c r="M34" s="4">
        <v>42949</v>
      </c>
      <c r="N34" s="5">
        <v>15</v>
      </c>
      <c r="O34" s="5" t="str">
        <f>"003484"</f>
        <v>003484</v>
      </c>
      <c r="P34" s="4">
        <v>43291</v>
      </c>
      <c r="Q34" s="7">
        <v>1.014</v>
      </c>
      <c r="R34" s="7">
        <v>0.123</v>
      </c>
      <c r="S34" s="7">
        <v>0.89100000000000001</v>
      </c>
      <c r="T34" s="5">
        <v>127</v>
      </c>
      <c r="U34" s="4">
        <v>43299</v>
      </c>
      <c r="V34" s="5">
        <v>9342541594</v>
      </c>
      <c r="W34" s="6" t="s">
        <v>63</v>
      </c>
      <c r="X34" s="5" t="s">
        <v>59</v>
      </c>
      <c r="Y34" s="6" t="s">
        <v>60</v>
      </c>
      <c r="Z34" s="5" t="s">
        <v>61</v>
      </c>
      <c r="AA34" s="6" t="s">
        <v>62</v>
      </c>
      <c r="AB34" s="7">
        <v>1.014E-2</v>
      </c>
      <c r="AD34" s="8"/>
      <c r="AF34" s="8"/>
      <c r="AG34" s="8"/>
    </row>
    <row r="35" spans="1:33" x14ac:dyDescent="0.2">
      <c r="A35" s="12">
        <v>3520</v>
      </c>
      <c r="B35" s="13" t="s">
        <v>33</v>
      </c>
      <c r="C35" s="13">
        <v>43299</v>
      </c>
      <c r="D35" s="5">
        <v>82</v>
      </c>
      <c r="E35" s="6" t="s">
        <v>68</v>
      </c>
      <c r="F35" s="5" t="s">
        <v>157</v>
      </c>
      <c r="G35" s="6" t="s">
        <v>158</v>
      </c>
      <c r="H35" s="5" t="str">
        <f>"000010"</f>
        <v>000010</v>
      </c>
      <c r="I35" s="4">
        <v>42948</v>
      </c>
      <c r="J35" s="5" t="str">
        <f>"000012"</f>
        <v>000012</v>
      </c>
      <c r="K35" s="4">
        <v>42948</v>
      </c>
      <c r="L35" s="5" t="str">
        <f>"000012"</f>
        <v>000012</v>
      </c>
      <c r="M35" s="4">
        <v>42948</v>
      </c>
      <c r="N35" s="5">
        <v>15</v>
      </c>
      <c r="O35" s="5" t="str">
        <f>"003486"</f>
        <v>003486</v>
      </c>
      <c r="P35" s="4">
        <v>43291</v>
      </c>
      <c r="Q35" s="7">
        <v>1.0125500000000001</v>
      </c>
      <c r="R35" s="7">
        <v>0.12281</v>
      </c>
      <c r="S35" s="7">
        <v>0.88973999999999998</v>
      </c>
      <c r="T35" s="5">
        <v>127</v>
      </c>
      <c r="U35" s="4">
        <v>43299</v>
      </c>
      <c r="V35" s="5">
        <v>9342541594</v>
      </c>
      <c r="W35" s="6" t="s">
        <v>63</v>
      </c>
      <c r="X35" s="5" t="s">
        <v>59</v>
      </c>
      <c r="Y35" s="6" t="s">
        <v>60</v>
      </c>
      <c r="Z35" s="5" t="s">
        <v>61</v>
      </c>
      <c r="AA35" s="6" t="s">
        <v>62</v>
      </c>
      <c r="AB35" s="7">
        <v>1.0125500000000001E-2</v>
      </c>
      <c r="AD35" s="8"/>
      <c r="AF35" s="8"/>
      <c r="AG35" s="8"/>
    </row>
    <row r="36" spans="1:33" x14ac:dyDescent="0.2">
      <c r="A36" s="12">
        <v>3741</v>
      </c>
      <c r="B36" s="13" t="s">
        <v>33</v>
      </c>
      <c r="C36" s="13">
        <v>43301</v>
      </c>
      <c r="D36" s="5">
        <v>82</v>
      </c>
      <c r="E36" s="6" t="s">
        <v>68</v>
      </c>
      <c r="F36" s="5" t="s">
        <v>159</v>
      </c>
      <c r="G36" s="6" t="s">
        <v>160</v>
      </c>
      <c r="H36" s="5" t="str">
        <f>"000015"</f>
        <v>000015</v>
      </c>
      <c r="I36" s="4">
        <v>42625</v>
      </c>
      <c r="J36" s="5" t="str">
        <f>"000007"</f>
        <v>000007</v>
      </c>
      <c r="K36" s="4">
        <v>43201</v>
      </c>
      <c r="L36" s="5" t="str">
        <f>"000007"</f>
        <v>000007</v>
      </c>
      <c r="M36" s="4">
        <v>43201</v>
      </c>
      <c r="N36" s="5">
        <v>16</v>
      </c>
      <c r="O36" s="5" t="str">
        <f>"004433"</f>
        <v>004433</v>
      </c>
      <c r="P36" s="4">
        <v>43307</v>
      </c>
      <c r="Q36" s="7">
        <v>5.6280000000000001</v>
      </c>
      <c r="R36" s="7">
        <v>0.69767999999999997</v>
      </c>
      <c r="S36" s="7">
        <v>4.93032</v>
      </c>
      <c r="T36" s="5">
        <v>134</v>
      </c>
      <c r="U36" s="4">
        <v>43301</v>
      </c>
      <c r="V36" s="5">
        <v>9845046438</v>
      </c>
      <c r="W36" s="6" t="s">
        <v>161</v>
      </c>
      <c r="X36" s="5" t="s">
        <v>34</v>
      </c>
      <c r="Y36" s="6" t="s">
        <v>35</v>
      </c>
      <c r="Z36" s="5" t="s">
        <v>61</v>
      </c>
      <c r="AA36" s="6" t="s">
        <v>62</v>
      </c>
      <c r="AB36" s="7">
        <v>5.6280000000000004E-2</v>
      </c>
      <c r="AD36" s="8"/>
      <c r="AF36" s="8"/>
      <c r="AG36" s="8"/>
    </row>
    <row r="37" spans="1:33" x14ac:dyDescent="0.2">
      <c r="A37" s="12">
        <v>3917</v>
      </c>
      <c r="B37" s="13" t="s">
        <v>33</v>
      </c>
      <c r="C37" s="13">
        <v>43305</v>
      </c>
      <c r="D37" s="5">
        <v>82</v>
      </c>
      <c r="E37" s="6" t="s">
        <v>68</v>
      </c>
      <c r="F37" s="5" t="s">
        <v>162</v>
      </c>
      <c r="G37" s="6" t="s">
        <v>163</v>
      </c>
      <c r="H37" s="5" t="str">
        <f>"000072"</f>
        <v>000072</v>
      </c>
      <c r="I37" s="4">
        <v>42510</v>
      </c>
      <c r="J37" s="5" t="str">
        <f>"000189"</f>
        <v>000189</v>
      </c>
      <c r="K37" s="4">
        <v>42734</v>
      </c>
      <c r="L37" s="5" t="str">
        <f>"000514"</f>
        <v>000514</v>
      </c>
      <c r="M37" s="4">
        <v>42745</v>
      </c>
      <c r="N37" s="5">
        <v>16</v>
      </c>
      <c r="O37" s="5" t="str">
        <f>"004088"</f>
        <v>004088</v>
      </c>
      <c r="P37" s="4">
        <v>43301</v>
      </c>
      <c r="Q37" s="7">
        <v>18.753620000000002</v>
      </c>
      <c r="R37" s="7">
        <v>2.68167</v>
      </c>
      <c r="S37" s="7">
        <v>16.071950000000001</v>
      </c>
      <c r="T37" s="5">
        <v>139</v>
      </c>
      <c r="U37" s="4">
        <v>43305</v>
      </c>
      <c r="V37" s="5">
        <v>9480828222</v>
      </c>
      <c r="W37" s="6" t="s">
        <v>54</v>
      </c>
      <c r="X37" s="5" t="s">
        <v>53</v>
      </c>
      <c r="Y37" s="6" t="s">
        <v>52</v>
      </c>
      <c r="Z37" s="5" t="s">
        <v>64</v>
      </c>
      <c r="AA37" s="6" t="s">
        <v>65</v>
      </c>
      <c r="AB37" s="7">
        <v>0.18753620000000001</v>
      </c>
      <c r="AD37" s="8"/>
      <c r="AF37" s="8"/>
      <c r="AG37" s="8"/>
    </row>
    <row r="38" spans="1:33" x14ac:dyDescent="0.2">
      <c r="A38" s="12">
        <v>3918</v>
      </c>
      <c r="B38" s="13" t="s">
        <v>33</v>
      </c>
      <c r="C38" s="13">
        <v>43305</v>
      </c>
      <c r="D38" s="5">
        <v>82</v>
      </c>
      <c r="E38" s="6" t="s">
        <v>68</v>
      </c>
      <c r="F38" s="5" t="s">
        <v>164</v>
      </c>
      <c r="G38" s="6" t="s">
        <v>165</v>
      </c>
      <c r="H38" s="5" t="str">
        <f>"000073"</f>
        <v>000073</v>
      </c>
      <c r="I38" s="4">
        <v>42510</v>
      </c>
      <c r="J38" s="5" t="str">
        <f>"000154"</f>
        <v>000154</v>
      </c>
      <c r="K38" s="4">
        <v>42692</v>
      </c>
      <c r="L38" s="5" t="str">
        <f>"000443"</f>
        <v>000443</v>
      </c>
      <c r="M38" s="4">
        <v>42703</v>
      </c>
      <c r="N38" s="5">
        <v>16</v>
      </c>
      <c r="O38" s="5" t="str">
        <f>"004117"</f>
        <v>004117</v>
      </c>
      <c r="P38" s="4">
        <v>43301</v>
      </c>
      <c r="Q38" s="7">
        <v>29.940919999999998</v>
      </c>
      <c r="R38" s="7">
        <v>4.1327100000000003</v>
      </c>
      <c r="S38" s="7">
        <v>25.808209999999999</v>
      </c>
      <c r="T38" s="5">
        <v>139</v>
      </c>
      <c r="U38" s="4">
        <v>43305</v>
      </c>
      <c r="V38" s="5">
        <v>9480828222</v>
      </c>
      <c r="W38" s="6" t="s">
        <v>54</v>
      </c>
      <c r="X38" s="5" t="s">
        <v>53</v>
      </c>
      <c r="Y38" s="6" t="s">
        <v>52</v>
      </c>
      <c r="Z38" s="5" t="s">
        <v>64</v>
      </c>
      <c r="AA38" s="6" t="s">
        <v>65</v>
      </c>
      <c r="AB38" s="7">
        <v>0.29940919999999999</v>
      </c>
      <c r="AD38" s="8"/>
      <c r="AF38" s="8"/>
      <c r="AG38" s="8"/>
    </row>
    <row r="39" spans="1:33" x14ac:dyDescent="0.2">
      <c r="A39" s="12">
        <v>4106</v>
      </c>
      <c r="B39" s="13" t="s">
        <v>33</v>
      </c>
      <c r="C39" s="13">
        <v>43308</v>
      </c>
      <c r="D39" s="5">
        <v>82</v>
      </c>
      <c r="E39" s="6" t="s">
        <v>68</v>
      </c>
      <c r="F39" s="5" t="s">
        <v>159</v>
      </c>
      <c r="G39" s="6" t="s">
        <v>160</v>
      </c>
      <c r="H39" s="5" t="str">
        <f>"000015"</f>
        <v>000015</v>
      </c>
      <c r="I39" s="4">
        <v>42625</v>
      </c>
      <c r="J39" s="5" t="str">
        <f>"000007"</f>
        <v>000007</v>
      </c>
      <c r="K39" s="4">
        <v>43201</v>
      </c>
      <c r="L39" s="5" t="str">
        <f>"000007"</f>
        <v>000007</v>
      </c>
      <c r="M39" s="4">
        <v>43201</v>
      </c>
      <c r="N39" s="5">
        <v>16</v>
      </c>
      <c r="O39" s="5" t="str">
        <f>"004433"</f>
        <v>004433</v>
      </c>
      <c r="P39" s="4">
        <v>43307</v>
      </c>
      <c r="Q39" s="7">
        <v>15.600020000000001</v>
      </c>
      <c r="R39" s="7">
        <v>1.92228</v>
      </c>
      <c r="S39" s="7">
        <v>13.67774</v>
      </c>
      <c r="T39" s="5">
        <v>146</v>
      </c>
      <c r="U39" s="4">
        <v>43308</v>
      </c>
      <c r="V39" s="5">
        <v>9845046438</v>
      </c>
      <c r="W39" s="6" t="s">
        <v>161</v>
      </c>
      <c r="X39" s="5" t="s">
        <v>34</v>
      </c>
      <c r="Y39" s="6" t="s">
        <v>35</v>
      </c>
      <c r="Z39" s="5" t="s">
        <v>61</v>
      </c>
      <c r="AA39" s="6" t="s">
        <v>62</v>
      </c>
      <c r="AB39" s="7">
        <v>0.15600020000000001</v>
      </c>
      <c r="AD39" s="8"/>
      <c r="AF39" s="8"/>
      <c r="AG39" s="8"/>
    </row>
    <row r="40" spans="1:33" x14ac:dyDescent="0.2">
      <c r="A40" s="12">
        <v>4285</v>
      </c>
      <c r="B40" s="13" t="s">
        <v>30</v>
      </c>
      <c r="C40" s="13">
        <v>43315</v>
      </c>
      <c r="D40" s="5">
        <v>82</v>
      </c>
      <c r="E40" s="6" t="s">
        <v>68</v>
      </c>
      <c r="F40" s="5" t="s">
        <v>166</v>
      </c>
      <c r="G40" s="6" t="s">
        <v>167</v>
      </c>
      <c r="H40" s="5" t="str">
        <f>"000014"</f>
        <v>000014</v>
      </c>
      <c r="I40" s="4">
        <v>42466</v>
      </c>
      <c r="J40" s="5" t="str">
        <f>"000200"</f>
        <v>000200</v>
      </c>
      <c r="K40" s="4">
        <v>42765</v>
      </c>
      <c r="L40" s="5" t="str">
        <f>"000532"</f>
        <v>000532</v>
      </c>
      <c r="M40" s="4">
        <v>42765</v>
      </c>
      <c r="N40" s="5">
        <v>16</v>
      </c>
      <c r="O40" s="5" t="str">
        <f>"004507"</f>
        <v>004507</v>
      </c>
      <c r="P40" s="4">
        <v>43308</v>
      </c>
      <c r="Q40" s="7">
        <v>19.0501</v>
      </c>
      <c r="R40" s="7">
        <v>2.4676499999999999</v>
      </c>
      <c r="S40" s="7">
        <v>16.582450000000001</v>
      </c>
      <c r="T40" s="5">
        <v>152</v>
      </c>
      <c r="U40" s="4">
        <v>43315</v>
      </c>
      <c r="V40" s="5">
        <v>9880446969</v>
      </c>
      <c r="W40" s="6" t="s">
        <v>168</v>
      </c>
      <c r="X40" s="5" t="s">
        <v>45</v>
      </c>
      <c r="Y40" s="6" t="s">
        <v>44</v>
      </c>
      <c r="Z40" s="5" t="s">
        <v>64</v>
      </c>
      <c r="AA40" s="6" t="s">
        <v>65</v>
      </c>
      <c r="AB40" s="7">
        <v>0.190501</v>
      </c>
      <c r="AD40" s="8"/>
      <c r="AF40" s="8"/>
      <c r="AG40" s="8"/>
    </row>
    <row r="41" spans="1:33" x14ac:dyDescent="0.2">
      <c r="A41" s="12">
        <v>4286</v>
      </c>
      <c r="B41" s="13" t="s">
        <v>30</v>
      </c>
      <c r="C41" s="13">
        <v>43315</v>
      </c>
      <c r="D41" s="5">
        <v>82</v>
      </c>
      <c r="E41" s="6" t="s">
        <v>68</v>
      </c>
      <c r="F41" s="5" t="s">
        <v>169</v>
      </c>
      <c r="G41" s="6" t="s">
        <v>170</v>
      </c>
      <c r="H41" s="5" t="str">
        <f>"000016"</f>
        <v>000016</v>
      </c>
      <c r="I41" s="4">
        <v>42466</v>
      </c>
      <c r="J41" s="5" t="str">
        <f>"000202"</f>
        <v>000202</v>
      </c>
      <c r="K41" s="4">
        <v>42765</v>
      </c>
      <c r="L41" s="5" t="str">
        <f>"000534"</f>
        <v>000534</v>
      </c>
      <c r="M41" s="4">
        <v>42765</v>
      </c>
      <c r="N41" s="5">
        <v>16</v>
      </c>
      <c r="O41" s="5" t="str">
        <f>"004508"</f>
        <v>004508</v>
      </c>
      <c r="P41" s="4">
        <v>43308</v>
      </c>
      <c r="Q41" s="7">
        <v>19.30369</v>
      </c>
      <c r="R41" s="7">
        <v>2.5312899999999998</v>
      </c>
      <c r="S41" s="7">
        <v>16.772400000000001</v>
      </c>
      <c r="T41" s="5">
        <v>152</v>
      </c>
      <c r="U41" s="4">
        <v>43315</v>
      </c>
      <c r="V41" s="5">
        <v>9880446969</v>
      </c>
      <c r="W41" s="6" t="s">
        <v>171</v>
      </c>
      <c r="X41" s="5" t="s">
        <v>45</v>
      </c>
      <c r="Y41" s="6" t="s">
        <v>44</v>
      </c>
      <c r="Z41" s="5" t="s">
        <v>64</v>
      </c>
      <c r="AA41" s="6" t="s">
        <v>65</v>
      </c>
      <c r="AB41" s="7">
        <v>0.19303689999999998</v>
      </c>
      <c r="AD41" s="8"/>
      <c r="AF41" s="8"/>
      <c r="AG41" s="8"/>
    </row>
    <row r="42" spans="1:33" x14ac:dyDescent="0.2">
      <c r="A42" s="12">
        <v>4287</v>
      </c>
      <c r="B42" s="13" t="s">
        <v>30</v>
      </c>
      <c r="C42" s="13">
        <v>43315</v>
      </c>
      <c r="D42" s="5">
        <v>82</v>
      </c>
      <c r="E42" s="6" t="s">
        <v>68</v>
      </c>
      <c r="F42" s="5" t="s">
        <v>172</v>
      </c>
      <c r="G42" s="6" t="s">
        <v>173</v>
      </c>
      <c r="H42" s="5" t="str">
        <f>"000018"</f>
        <v>000018</v>
      </c>
      <c r="I42" s="4">
        <v>42464</v>
      </c>
      <c r="J42" s="5" t="str">
        <f>"000554"</f>
        <v>000554</v>
      </c>
      <c r="K42" s="4">
        <v>42781</v>
      </c>
      <c r="L42" s="5" t="str">
        <f>"000554"</f>
        <v>000554</v>
      </c>
      <c r="M42" s="4">
        <v>42783</v>
      </c>
      <c r="N42" s="5">
        <v>16</v>
      </c>
      <c r="O42" s="5" t="str">
        <f>"004549"</f>
        <v>004549</v>
      </c>
      <c r="P42" s="4">
        <v>43309</v>
      </c>
      <c r="Q42" s="7">
        <v>16.995999999999999</v>
      </c>
      <c r="R42" s="7">
        <v>2.2155399999999998</v>
      </c>
      <c r="S42" s="7">
        <v>14.78046</v>
      </c>
      <c r="T42" s="5">
        <v>152</v>
      </c>
      <c r="U42" s="4">
        <v>43315</v>
      </c>
      <c r="V42" s="5">
        <v>9845470283</v>
      </c>
      <c r="W42" s="6" t="s">
        <v>174</v>
      </c>
      <c r="X42" s="5" t="s">
        <v>45</v>
      </c>
      <c r="Y42" s="6" t="s">
        <v>44</v>
      </c>
      <c r="Z42" s="5" t="s">
        <v>64</v>
      </c>
      <c r="AA42" s="6" t="s">
        <v>65</v>
      </c>
      <c r="AB42" s="7">
        <v>0.16996</v>
      </c>
      <c r="AD42" s="8"/>
      <c r="AF42" s="8"/>
      <c r="AG42" s="8"/>
    </row>
    <row r="43" spans="1:33" x14ac:dyDescent="0.2">
      <c r="A43" s="12">
        <v>4487</v>
      </c>
      <c r="B43" s="13" t="s">
        <v>30</v>
      </c>
      <c r="C43" s="13">
        <v>43318</v>
      </c>
      <c r="D43" s="5">
        <v>82</v>
      </c>
      <c r="E43" s="6" t="s">
        <v>68</v>
      </c>
      <c r="F43" s="5" t="s">
        <v>159</v>
      </c>
      <c r="G43" s="6" t="s">
        <v>160</v>
      </c>
      <c r="H43" s="5" t="str">
        <f>"000015"</f>
        <v>000015</v>
      </c>
      <c r="I43" s="4">
        <v>42625</v>
      </c>
      <c r="J43" s="5" t="str">
        <f>"000007"</f>
        <v>000007</v>
      </c>
      <c r="K43" s="4">
        <v>43201</v>
      </c>
      <c r="L43" s="5" t="str">
        <f>"000007"</f>
        <v>000007</v>
      </c>
      <c r="M43" s="4">
        <v>43201</v>
      </c>
      <c r="N43" s="5">
        <v>16</v>
      </c>
      <c r="O43" s="5" t="str">
        <f>"004433"</f>
        <v>004433</v>
      </c>
      <c r="P43" s="4">
        <v>43307</v>
      </c>
      <c r="Q43" s="7">
        <v>5.1790099999999999</v>
      </c>
      <c r="R43" s="7">
        <v>0.62821000000000005</v>
      </c>
      <c r="S43" s="7">
        <v>4.5507999999999997</v>
      </c>
      <c r="T43" s="5">
        <v>157</v>
      </c>
      <c r="U43" s="4">
        <v>43318</v>
      </c>
      <c r="V43" s="5">
        <v>9845046438</v>
      </c>
      <c r="W43" s="6" t="s">
        <v>175</v>
      </c>
      <c r="X43" s="5" t="s">
        <v>34</v>
      </c>
      <c r="Y43" s="6" t="s">
        <v>35</v>
      </c>
      <c r="Z43" s="5" t="s">
        <v>61</v>
      </c>
      <c r="AA43" s="6" t="s">
        <v>62</v>
      </c>
      <c r="AB43" s="7">
        <v>5.1790099999999999E-2</v>
      </c>
      <c r="AD43" s="8"/>
      <c r="AF43" s="8"/>
      <c r="AG43" s="8"/>
    </row>
    <row r="44" spans="1:33" x14ac:dyDescent="0.2">
      <c r="A44" s="12">
        <v>4488</v>
      </c>
      <c r="B44" s="13" t="s">
        <v>30</v>
      </c>
      <c r="C44" s="13">
        <v>43318</v>
      </c>
      <c r="D44" s="5">
        <v>82</v>
      </c>
      <c r="E44" s="6" t="s">
        <v>68</v>
      </c>
      <c r="F44" s="5" t="s">
        <v>176</v>
      </c>
      <c r="G44" s="6" t="s">
        <v>177</v>
      </c>
      <c r="H44" s="5" t="str">
        <f>"000159"</f>
        <v>000159</v>
      </c>
      <c r="I44" s="4">
        <v>42457</v>
      </c>
      <c r="J44" s="5" t="str">
        <f>"000203"</f>
        <v>000203</v>
      </c>
      <c r="K44" s="4">
        <v>42765</v>
      </c>
      <c r="L44" s="5" t="str">
        <f>"000589"</f>
        <v>000589</v>
      </c>
      <c r="M44" s="4">
        <v>42794</v>
      </c>
      <c r="N44" s="5">
        <v>16</v>
      </c>
      <c r="O44" s="5" t="str">
        <f>"004722"</f>
        <v>004722</v>
      </c>
      <c r="P44" s="4">
        <v>43314</v>
      </c>
      <c r="Q44" s="7">
        <v>19.918859999999999</v>
      </c>
      <c r="R44" s="7">
        <v>2.5708099999999998</v>
      </c>
      <c r="S44" s="7">
        <v>17.348050000000001</v>
      </c>
      <c r="T44" s="5">
        <v>159</v>
      </c>
      <c r="U44" s="4">
        <v>43318</v>
      </c>
      <c r="V44" s="5">
        <v>9731856009</v>
      </c>
      <c r="W44" s="6" t="s">
        <v>126</v>
      </c>
      <c r="X44" s="5" t="s">
        <v>45</v>
      </c>
      <c r="Y44" s="6" t="s">
        <v>44</v>
      </c>
      <c r="Z44" s="5" t="s">
        <v>64</v>
      </c>
      <c r="AA44" s="6" t="s">
        <v>65</v>
      </c>
      <c r="AB44" s="7">
        <v>0.19918859999999999</v>
      </c>
      <c r="AD44" s="8"/>
      <c r="AF44" s="8"/>
      <c r="AG44" s="8"/>
    </row>
    <row r="45" spans="1:33" x14ac:dyDescent="0.2">
      <c r="A45" s="12">
        <v>4489</v>
      </c>
      <c r="B45" s="13" t="s">
        <v>30</v>
      </c>
      <c r="C45" s="13">
        <v>43318</v>
      </c>
      <c r="D45" s="5">
        <v>82</v>
      </c>
      <c r="E45" s="6" t="s">
        <v>68</v>
      </c>
      <c r="F45" s="5" t="s">
        <v>178</v>
      </c>
      <c r="G45" s="6" t="s">
        <v>179</v>
      </c>
      <c r="H45" s="5" t="str">
        <f>"000026"</f>
        <v>000026</v>
      </c>
      <c r="I45" s="4">
        <v>42467</v>
      </c>
      <c r="J45" s="5" t="str">
        <f>"000225"</f>
        <v>000225</v>
      </c>
      <c r="K45" s="4">
        <v>42794</v>
      </c>
      <c r="L45" s="5" t="str">
        <f>"000599"</f>
        <v>000599</v>
      </c>
      <c r="M45" s="4">
        <v>42794</v>
      </c>
      <c r="N45" s="5">
        <v>16</v>
      </c>
      <c r="O45" s="5" t="str">
        <f>"004723"</f>
        <v>004723</v>
      </c>
      <c r="P45" s="4">
        <v>43314</v>
      </c>
      <c r="Q45" s="7">
        <v>15.557550000000001</v>
      </c>
      <c r="R45" s="7">
        <v>1.98298</v>
      </c>
      <c r="S45" s="7">
        <v>13.57457</v>
      </c>
      <c r="T45" s="5">
        <v>159</v>
      </c>
      <c r="U45" s="4">
        <v>43318</v>
      </c>
      <c r="V45" s="5">
        <v>9342551777</v>
      </c>
      <c r="W45" s="6" t="s">
        <v>66</v>
      </c>
      <c r="X45" s="5" t="s">
        <v>45</v>
      </c>
      <c r="Y45" s="6" t="s">
        <v>44</v>
      </c>
      <c r="Z45" s="5" t="s">
        <v>64</v>
      </c>
      <c r="AA45" s="6" t="s">
        <v>65</v>
      </c>
      <c r="AB45" s="7">
        <v>0.15557550000000001</v>
      </c>
      <c r="AD45" s="8"/>
      <c r="AF45" s="8"/>
      <c r="AG45" s="8"/>
    </row>
    <row r="46" spans="1:33" x14ac:dyDescent="0.2">
      <c r="A46" s="12">
        <v>4815</v>
      </c>
      <c r="B46" s="13" t="s">
        <v>30</v>
      </c>
      <c r="C46" s="13">
        <v>43326</v>
      </c>
      <c r="D46" s="5">
        <v>82</v>
      </c>
      <c r="E46" s="6" t="s">
        <v>68</v>
      </c>
      <c r="F46" s="5" t="s">
        <v>180</v>
      </c>
      <c r="G46" s="6" t="s">
        <v>181</v>
      </c>
      <c r="H46" s="5" t="str">
        <f>"000"</f>
        <v>000</v>
      </c>
      <c r="I46" s="4">
        <v>83</v>
      </c>
      <c r="J46" s="5" t="str">
        <f>"000184"</f>
        <v>000184</v>
      </c>
      <c r="K46" s="4">
        <v>42734</v>
      </c>
      <c r="L46" s="5" t="str">
        <f>"000515"</f>
        <v>000515</v>
      </c>
      <c r="M46" s="4">
        <v>42745</v>
      </c>
      <c r="N46" s="5">
        <v>16</v>
      </c>
      <c r="O46" s="5" t="str">
        <f>"004909"</f>
        <v>004909</v>
      </c>
      <c r="P46" s="4">
        <v>43318</v>
      </c>
      <c r="Q46" s="7">
        <v>78.384</v>
      </c>
      <c r="R46" s="7">
        <v>10.861219999999999</v>
      </c>
      <c r="S46" s="7">
        <v>67.522779999999997</v>
      </c>
      <c r="T46" s="5">
        <v>170</v>
      </c>
      <c r="U46" s="4">
        <v>43326</v>
      </c>
      <c r="V46" s="5">
        <v>9480828222</v>
      </c>
      <c r="W46" s="6" t="s">
        <v>67</v>
      </c>
      <c r="X46" s="5" t="s">
        <v>53</v>
      </c>
      <c r="Y46" s="6" t="s">
        <v>52</v>
      </c>
      <c r="Z46" s="5" t="s">
        <v>64</v>
      </c>
      <c r="AA46" s="6" t="s">
        <v>65</v>
      </c>
      <c r="AB46" s="7">
        <v>0.78383999999999998</v>
      </c>
      <c r="AD46" s="8"/>
      <c r="AF46" s="8"/>
      <c r="AG46" s="8"/>
    </row>
    <row r="47" spans="1:33" x14ac:dyDescent="0.2">
      <c r="A47" s="12">
        <v>4816</v>
      </c>
      <c r="B47" s="13" t="s">
        <v>30</v>
      </c>
      <c r="C47" s="13">
        <v>43326</v>
      </c>
      <c r="D47" s="5">
        <v>82</v>
      </c>
      <c r="E47" s="6" t="s">
        <v>68</v>
      </c>
      <c r="F47" s="5" t="s">
        <v>182</v>
      </c>
      <c r="G47" s="6" t="s">
        <v>183</v>
      </c>
      <c r="H47" s="5" t="str">
        <f>"000070"</f>
        <v>000070</v>
      </c>
      <c r="I47" s="4">
        <v>42510</v>
      </c>
      <c r="J47" s="5" t="str">
        <f>"000185"</f>
        <v>000185</v>
      </c>
      <c r="K47" s="4">
        <v>42734</v>
      </c>
      <c r="L47" s="5" t="str">
        <f>"000516"</f>
        <v>000516</v>
      </c>
      <c r="M47" s="4">
        <v>42745</v>
      </c>
      <c r="N47" s="5">
        <v>16</v>
      </c>
      <c r="O47" s="5" t="str">
        <f>"004910"</f>
        <v>004910</v>
      </c>
      <c r="P47" s="4">
        <v>43318</v>
      </c>
      <c r="Q47" s="7">
        <v>24.203859999999999</v>
      </c>
      <c r="R47" s="7">
        <v>3.3670499999999999</v>
      </c>
      <c r="S47" s="7">
        <v>20.83681</v>
      </c>
      <c r="T47" s="5">
        <v>170</v>
      </c>
      <c r="U47" s="4">
        <v>43326</v>
      </c>
      <c r="V47" s="5">
        <v>9480828222</v>
      </c>
      <c r="W47" s="6" t="s">
        <v>67</v>
      </c>
      <c r="X47" s="5" t="s">
        <v>53</v>
      </c>
      <c r="Y47" s="6" t="s">
        <v>52</v>
      </c>
      <c r="Z47" s="5" t="s">
        <v>64</v>
      </c>
      <c r="AA47" s="6" t="s">
        <v>65</v>
      </c>
      <c r="AB47" s="7">
        <v>0.24203859999999999</v>
      </c>
      <c r="AD47" s="8"/>
      <c r="AF47" s="8"/>
      <c r="AG47" s="8"/>
    </row>
    <row r="48" spans="1:33" x14ac:dyDescent="0.2">
      <c r="A48" s="12">
        <v>4817</v>
      </c>
      <c r="B48" s="13" t="s">
        <v>30</v>
      </c>
      <c r="C48" s="13">
        <v>43326</v>
      </c>
      <c r="D48" s="5">
        <v>82</v>
      </c>
      <c r="E48" s="6" t="s">
        <v>68</v>
      </c>
      <c r="F48" s="5" t="s">
        <v>127</v>
      </c>
      <c r="G48" s="6" t="s">
        <v>128</v>
      </c>
      <c r="H48" s="5" t="str">
        <f>"000145"</f>
        <v>000145</v>
      </c>
      <c r="I48" s="4">
        <v>42564</v>
      </c>
      <c r="J48" s="5" t="str">
        <f>"000630"</f>
        <v>000630</v>
      </c>
      <c r="K48" s="4">
        <v>42809</v>
      </c>
      <c r="L48" s="5" t="str">
        <f>"000630"</f>
        <v>000630</v>
      </c>
      <c r="M48" s="4">
        <v>42809</v>
      </c>
      <c r="N48" s="5">
        <v>16</v>
      </c>
      <c r="O48" s="5" t="str">
        <f>"004933"</f>
        <v>004933</v>
      </c>
      <c r="P48" s="4">
        <v>43318</v>
      </c>
      <c r="Q48" s="7">
        <v>8.9527800000000006</v>
      </c>
      <c r="R48" s="7">
        <v>1.26617</v>
      </c>
      <c r="S48" s="7">
        <v>7.6866099999999999</v>
      </c>
      <c r="T48" s="5">
        <v>170</v>
      </c>
      <c r="U48" s="4">
        <v>43326</v>
      </c>
      <c r="V48" s="5">
        <v>9480828222</v>
      </c>
      <c r="W48" s="6" t="s">
        <v>49</v>
      </c>
      <c r="X48" s="5" t="s">
        <v>53</v>
      </c>
      <c r="Y48" s="6" t="s">
        <v>52</v>
      </c>
      <c r="Z48" s="5" t="s">
        <v>64</v>
      </c>
      <c r="AA48" s="6" t="s">
        <v>65</v>
      </c>
      <c r="AB48" s="7">
        <v>8.9527800000000005E-2</v>
      </c>
      <c r="AD48" s="8"/>
      <c r="AF48" s="8"/>
      <c r="AG48" s="8"/>
    </row>
    <row r="49" spans="1:33" x14ac:dyDescent="0.2">
      <c r="A49" s="12">
        <v>4818</v>
      </c>
      <c r="B49" s="13" t="s">
        <v>30</v>
      </c>
      <c r="C49" s="13">
        <v>43326</v>
      </c>
      <c r="D49" s="5">
        <v>82</v>
      </c>
      <c r="E49" s="6" t="s">
        <v>68</v>
      </c>
      <c r="F49" s="5" t="s">
        <v>184</v>
      </c>
      <c r="G49" s="6" t="s">
        <v>185</v>
      </c>
      <c r="H49" s="5" t="str">
        <f>"000093"</f>
        <v>000093</v>
      </c>
      <c r="I49" s="4">
        <v>42850</v>
      </c>
      <c r="J49" s="5" t="str">
        <f>"000029"</f>
        <v>000029</v>
      </c>
      <c r="K49" s="4">
        <v>43001</v>
      </c>
      <c r="L49" s="5" t="str">
        <f>"000071"</f>
        <v>000071</v>
      </c>
      <c r="M49" s="4">
        <v>43001</v>
      </c>
      <c r="N49" s="5">
        <v>17</v>
      </c>
      <c r="O49" s="5" t="str">
        <f>"004972"</f>
        <v>004972</v>
      </c>
      <c r="P49" s="4">
        <v>43320</v>
      </c>
      <c r="Q49" s="7">
        <v>49.771389999999997</v>
      </c>
      <c r="R49" s="7">
        <v>6.07498</v>
      </c>
      <c r="S49" s="7">
        <v>43.69641</v>
      </c>
      <c r="T49" s="5">
        <v>171</v>
      </c>
      <c r="U49" s="4">
        <v>43326</v>
      </c>
      <c r="V49" s="5">
        <v>9448082822</v>
      </c>
      <c r="W49" s="6" t="s">
        <v>186</v>
      </c>
      <c r="X49" s="5" t="s">
        <v>56</v>
      </c>
      <c r="Y49" s="6" t="s">
        <v>55</v>
      </c>
      <c r="Z49" s="5" t="s">
        <v>64</v>
      </c>
      <c r="AA49" s="6" t="s">
        <v>65</v>
      </c>
      <c r="AB49" s="7">
        <v>0.49771389999999999</v>
      </c>
      <c r="AD49" s="8"/>
      <c r="AF49" s="8"/>
      <c r="AG49" s="8"/>
    </row>
    <row r="50" spans="1:33" x14ac:dyDescent="0.2">
      <c r="A50" s="12">
        <v>5251</v>
      </c>
      <c r="B50" s="13" t="s">
        <v>38</v>
      </c>
      <c r="C50" s="13">
        <v>43346</v>
      </c>
      <c r="D50" s="5">
        <v>82</v>
      </c>
      <c r="E50" s="6" t="s">
        <v>68</v>
      </c>
      <c r="F50" s="5" t="s">
        <v>187</v>
      </c>
      <c r="G50" s="6" t="s">
        <v>188</v>
      </c>
      <c r="H50" s="5" t="str">
        <f>"000163"</f>
        <v>000163</v>
      </c>
      <c r="I50" s="4">
        <v>42460</v>
      </c>
      <c r="J50" s="5" t="str">
        <f>"000257"</f>
        <v>000257</v>
      </c>
      <c r="K50" s="4">
        <v>42825</v>
      </c>
      <c r="L50" s="5" t="str">
        <f>"000694"</f>
        <v>000694</v>
      </c>
      <c r="M50" s="4">
        <v>42825</v>
      </c>
      <c r="N50" s="5">
        <v>16</v>
      </c>
      <c r="O50" s="5" t="str">
        <f>"004588"</f>
        <v>004588</v>
      </c>
      <c r="P50" s="4">
        <v>42954</v>
      </c>
      <c r="Q50" s="7">
        <v>18.433450000000001</v>
      </c>
      <c r="R50" s="7">
        <v>0</v>
      </c>
      <c r="S50" s="7">
        <v>18.433450000000001</v>
      </c>
      <c r="T50" s="5">
        <v>193</v>
      </c>
      <c r="U50" s="4">
        <v>43346</v>
      </c>
      <c r="V50" s="5">
        <v>9008722541</v>
      </c>
      <c r="W50" s="6" t="s">
        <v>189</v>
      </c>
      <c r="X50" s="5" t="s">
        <v>51</v>
      </c>
      <c r="Y50" s="6" t="s">
        <v>50</v>
      </c>
      <c r="Z50" s="5" t="s">
        <v>64</v>
      </c>
      <c r="AA50" s="6" t="s">
        <v>65</v>
      </c>
      <c r="AB50" s="7">
        <f>Q50/100</f>
        <v>0.18433450000000001</v>
      </c>
      <c r="AD50" s="8"/>
      <c r="AF50" s="8"/>
      <c r="AG50" s="8"/>
    </row>
    <row r="51" spans="1:33" x14ac:dyDescent="0.2">
      <c r="A51" s="12">
        <v>6752</v>
      </c>
      <c r="B51" s="13" t="s">
        <v>43</v>
      </c>
      <c r="C51" s="13">
        <v>43390</v>
      </c>
      <c r="D51" s="5">
        <v>82</v>
      </c>
      <c r="E51" s="6" t="s">
        <v>68</v>
      </c>
      <c r="F51" s="5" t="s">
        <v>190</v>
      </c>
      <c r="G51" s="6" t="s">
        <v>191</v>
      </c>
      <c r="H51" s="5" t="str">
        <f>"000013"</f>
        <v>000013</v>
      </c>
      <c r="I51" s="4">
        <v>43347</v>
      </c>
      <c r="J51" s="5" t="str">
        <f>"000042"</f>
        <v>000042</v>
      </c>
      <c r="K51" s="4">
        <v>43347</v>
      </c>
      <c r="L51" s="5" t="str">
        <f>"000042"</f>
        <v>000042</v>
      </c>
      <c r="M51" s="4">
        <v>43347</v>
      </c>
      <c r="N51" s="5">
        <v>18</v>
      </c>
      <c r="O51" s="5" t="str">
        <f>"006828"</f>
        <v>006828</v>
      </c>
      <c r="P51" s="4">
        <v>43389</v>
      </c>
      <c r="Q51" s="7">
        <v>9.9998900000000006</v>
      </c>
      <c r="R51" s="7">
        <v>0.81299999999999994</v>
      </c>
      <c r="S51" s="7">
        <v>9.18689</v>
      </c>
      <c r="T51" s="5">
        <v>245</v>
      </c>
      <c r="U51" s="4">
        <v>43390</v>
      </c>
      <c r="V51" s="5">
        <v>9845046438</v>
      </c>
      <c r="W51" s="6" t="s">
        <v>49</v>
      </c>
      <c r="X51" s="5" t="s">
        <v>58</v>
      </c>
      <c r="Y51" s="6" t="s">
        <v>57</v>
      </c>
      <c r="Z51" s="5" t="s">
        <v>61</v>
      </c>
      <c r="AA51" s="6" t="s">
        <v>62</v>
      </c>
      <c r="AB51" s="7">
        <f>Q51/100</f>
        <v>9.9998900000000002E-2</v>
      </c>
      <c r="AD51" s="8"/>
      <c r="AF51" s="8"/>
      <c r="AG51" s="8"/>
    </row>
    <row r="52" spans="1:33" x14ac:dyDescent="0.2">
      <c r="A52" s="12">
        <v>7328</v>
      </c>
      <c r="B52" s="13" t="s">
        <v>39</v>
      </c>
      <c r="C52" s="13">
        <v>43424</v>
      </c>
      <c r="D52" s="5">
        <v>82</v>
      </c>
      <c r="E52" s="6" t="s">
        <v>68</v>
      </c>
      <c r="F52" s="5" t="s">
        <v>192</v>
      </c>
      <c r="G52" s="6" t="s">
        <v>193</v>
      </c>
      <c r="H52" s="5" t="str">
        <f>"000103"</f>
        <v>000103</v>
      </c>
      <c r="I52" s="4">
        <v>43083</v>
      </c>
      <c r="J52" s="5" t="str">
        <f>"000051"</f>
        <v>000051</v>
      </c>
      <c r="K52" s="4">
        <v>43083</v>
      </c>
      <c r="L52" s="5" t="str">
        <f>"000142"</f>
        <v>000142</v>
      </c>
      <c r="M52" s="4">
        <v>43083</v>
      </c>
      <c r="N52" s="5">
        <v>17</v>
      </c>
      <c r="O52" s="5" t="str">
        <f>"007364"</f>
        <v>007364</v>
      </c>
      <c r="P52" s="4">
        <v>43420</v>
      </c>
      <c r="Q52" s="7">
        <v>19.683060000000001</v>
      </c>
      <c r="R52" s="7">
        <v>2.7752599999999998</v>
      </c>
      <c r="S52" s="7">
        <v>16.907800000000002</v>
      </c>
      <c r="T52" s="5">
        <v>271</v>
      </c>
      <c r="U52" s="4">
        <v>43424</v>
      </c>
      <c r="V52" s="5">
        <v>9686499696</v>
      </c>
      <c r="W52" s="6" t="s">
        <v>194</v>
      </c>
      <c r="X52" s="5" t="s">
        <v>195</v>
      </c>
      <c r="Y52" s="6" t="s">
        <v>196</v>
      </c>
      <c r="Z52" s="5" t="s">
        <v>64</v>
      </c>
      <c r="AA52" s="6" t="s">
        <v>65</v>
      </c>
      <c r="AB52" s="7">
        <f>Q52/100</f>
        <v>0.19683060000000002</v>
      </c>
      <c r="AD52" s="8"/>
      <c r="AF52" s="8"/>
      <c r="AG52" s="8"/>
    </row>
    <row r="53" spans="1:33" x14ac:dyDescent="0.2">
      <c r="A53" s="12">
        <v>7329</v>
      </c>
      <c r="B53" s="13" t="s">
        <v>39</v>
      </c>
      <c r="C53" s="13">
        <v>43424</v>
      </c>
      <c r="D53" s="5">
        <v>82</v>
      </c>
      <c r="E53" s="6" t="s">
        <v>68</v>
      </c>
      <c r="F53" s="5" t="s">
        <v>197</v>
      </c>
      <c r="G53" s="6" t="s">
        <v>198</v>
      </c>
      <c r="H53" s="5" t="str">
        <f>"000187"</f>
        <v>000187</v>
      </c>
      <c r="I53" s="4">
        <v>43190</v>
      </c>
      <c r="J53" s="5" t="str">
        <f>"000105"</f>
        <v>000105</v>
      </c>
      <c r="K53" s="4">
        <v>43190</v>
      </c>
      <c r="L53" s="5" t="str">
        <f>"000287"</f>
        <v>000287</v>
      </c>
      <c r="M53" s="4">
        <v>43190</v>
      </c>
      <c r="N53" s="5">
        <v>17</v>
      </c>
      <c r="O53" s="5" t="str">
        <f>"007365"</f>
        <v>007365</v>
      </c>
      <c r="P53" s="4">
        <v>43420</v>
      </c>
      <c r="Q53" s="7">
        <v>19.676690000000001</v>
      </c>
      <c r="R53" s="7">
        <v>2.40666</v>
      </c>
      <c r="S53" s="7">
        <v>17.270029999999998</v>
      </c>
      <c r="T53" s="5">
        <v>271</v>
      </c>
      <c r="U53" s="4">
        <v>43424</v>
      </c>
      <c r="V53" s="5">
        <v>9686499696</v>
      </c>
      <c r="W53" s="6" t="s">
        <v>199</v>
      </c>
      <c r="X53" s="5" t="s">
        <v>31</v>
      </c>
      <c r="Y53" s="6" t="s">
        <v>32</v>
      </c>
      <c r="Z53" s="5" t="s">
        <v>64</v>
      </c>
      <c r="AA53" s="6" t="s">
        <v>65</v>
      </c>
      <c r="AB53" s="7">
        <f>Q53/100</f>
        <v>0.19676689999999999</v>
      </c>
      <c r="AD53" s="8"/>
      <c r="AF53" s="8"/>
      <c r="AG53" s="8"/>
    </row>
    <row r="54" spans="1:33" x14ac:dyDescent="0.2">
      <c r="A54" s="12">
        <v>7903</v>
      </c>
      <c r="B54" s="13" t="s">
        <v>40</v>
      </c>
      <c r="C54" s="13">
        <v>43454</v>
      </c>
      <c r="D54" s="5">
        <v>82</v>
      </c>
      <c r="E54" s="6" t="s">
        <v>68</v>
      </c>
      <c r="F54" s="5" t="s">
        <v>200</v>
      </c>
      <c r="G54" s="6" t="s">
        <v>201</v>
      </c>
      <c r="H54" s="5" t="str">
        <f>"000196"</f>
        <v>000196</v>
      </c>
      <c r="I54" s="4">
        <v>43438</v>
      </c>
      <c r="J54" s="5" t="str">
        <f>"000089"</f>
        <v>000089</v>
      </c>
      <c r="K54" s="4">
        <v>43438</v>
      </c>
      <c r="L54" s="5" t="str">
        <f>"000206"</f>
        <v>000206</v>
      </c>
      <c r="M54" s="4">
        <v>43438</v>
      </c>
      <c r="N54" s="5">
        <v>18</v>
      </c>
      <c r="O54" s="5" t="str">
        <f>"008092"</f>
        <v>008092</v>
      </c>
      <c r="P54" s="4">
        <v>43454</v>
      </c>
      <c r="Q54" s="7">
        <v>19.912389999999998</v>
      </c>
      <c r="R54" s="7">
        <v>2.2322099999999998</v>
      </c>
      <c r="S54" s="7">
        <v>17.68018</v>
      </c>
      <c r="T54" s="5">
        <v>299</v>
      </c>
      <c r="U54" s="4">
        <v>43454</v>
      </c>
      <c r="V54" s="5">
        <v>9480828222</v>
      </c>
      <c r="W54" s="6" t="s">
        <v>202</v>
      </c>
      <c r="X54" s="5" t="s">
        <v>47</v>
      </c>
      <c r="Y54" s="6" t="s">
        <v>46</v>
      </c>
      <c r="Z54" s="5" t="s">
        <v>64</v>
      </c>
      <c r="AA54" s="6" t="s">
        <v>65</v>
      </c>
      <c r="AB54" s="7">
        <f>Q54/100</f>
        <v>0.19912389999999999</v>
      </c>
      <c r="AD54" s="8"/>
      <c r="AF54" s="8"/>
      <c r="AG5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2019-01-14T14:07:09Z</dcterms:modified>
</cp:coreProperties>
</file>