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61" i="1" l="1"/>
  <c r="O61" i="1"/>
  <c r="L61" i="1"/>
  <c r="J61" i="1"/>
  <c r="H61" i="1"/>
  <c r="AB60" i="1"/>
  <c r="O60" i="1"/>
  <c r="L60" i="1"/>
  <c r="J60" i="1"/>
  <c r="H60" i="1"/>
  <c r="AB59" i="1"/>
  <c r="O59" i="1"/>
  <c r="L59" i="1"/>
  <c r="J59" i="1"/>
  <c r="H59" i="1"/>
  <c r="AB58" i="1"/>
  <c r="O58" i="1"/>
  <c r="L58" i="1"/>
  <c r="J58" i="1"/>
  <c r="H58" i="1"/>
  <c r="AB57" i="1"/>
  <c r="O57" i="1"/>
  <c r="L57" i="1"/>
  <c r="J57" i="1"/>
  <c r="H57" i="1"/>
  <c r="AB56" i="1"/>
  <c r="O56" i="1"/>
  <c r="L56" i="1"/>
  <c r="J56" i="1"/>
  <c r="H56" i="1"/>
  <c r="AB55" i="1"/>
  <c r="O55" i="1"/>
  <c r="L55" i="1"/>
  <c r="J55" i="1"/>
  <c r="H55" i="1"/>
  <c r="AB54" i="1"/>
  <c r="O54" i="1"/>
  <c r="L54" i="1"/>
  <c r="J54" i="1"/>
  <c r="H54" i="1"/>
  <c r="AB53" i="1"/>
  <c r="O53" i="1"/>
  <c r="L53" i="1"/>
  <c r="J53" i="1"/>
  <c r="H53" i="1"/>
  <c r="AB52" i="1"/>
  <c r="O52" i="1"/>
  <c r="L52" i="1"/>
  <c r="J52" i="1"/>
  <c r="H52" i="1"/>
  <c r="AB51" i="1"/>
  <c r="O51" i="1"/>
  <c r="L51" i="1"/>
  <c r="J51" i="1"/>
  <c r="H51" i="1"/>
  <c r="AB50" i="1"/>
  <c r="O50" i="1"/>
  <c r="L50" i="1"/>
  <c r="J50" i="1"/>
  <c r="H50" i="1"/>
  <c r="AB49" i="1"/>
  <c r="O49" i="1"/>
  <c r="L49" i="1"/>
  <c r="J49" i="1"/>
  <c r="H49" i="1"/>
  <c r="AB48" i="1"/>
  <c r="O48" i="1"/>
  <c r="L48" i="1"/>
  <c r="J48" i="1"/>
  <c r="H48" i="1"/>
  <c r="AB47" i="1"/>
  <c r="O47" i="1"/>
  <c r="L47" i="1"/>
  <c r="J47" i="1"/>
  <c r="H47" i="1"/>
  <c r="AB46" i="1"/>
  <c r="O46" i="1"/>
  <c r="L46" i="1"/>
  <c r="J46" i="1"/>
  <c r="H46" i="1"/>
  <c r="AB45" i="1"/>
  <c r="O45" i="1"/>
  <c r="L45" i="1"/>
  <c r="J45" i="1"/>
  <c r="H45" i="1"/>
  <c r="AB44" i="1"/>
  <c r="O44" i="1"/>
  <c r="L44" i="1"/>
  <c r="J44" i="1"/>
  <c r="H44" i="1"/>
  <c r="AB43" i="1"/>
  <c r="O43" i="1"/>
  <c r="L43" i="1"/>
  <c r="J43" i="1"/>
  <c r="H43" i="1"/>
  <c r="AB42" i="1"/>
  <c r="O42" i="1"/>
  <c r="L42" i="1"/>
  <c r="J42" i="1"/>
  <c r="H42" i="1"/>
  <c r="AB41" i="1"/>
  <c r="O41" i="1"/>
  <c r="L41" i="1"/>
  <c r="J41" i="1"/>
  <c r="H41" i="1"/>
  <c r="AB40" i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O33" i="1"/>
  <c r="L33" i="1"/>
  <c r="J33" i="1"/>
  <c r="H33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<sst xmlns="http://schemas.openxmlformats.org/spreadsheetml/2006/main" count="568" uniqueCount="215">
  <si>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</si>
  <si>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</si>
  <si>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</si>
  <si>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</si>
  <si>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</si>
  <si>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</si>
  <si>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</si>
  <si>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</si>
  <si>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</si>
  <si>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</si>
  <si>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</si>
  <si>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</si>
  <si>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</si>
  <si>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</si>
  <si>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</si>
  <si>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</si>
  <si>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</si>
  <si>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</si>
  <si>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</si>
  <si>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</si>
  <si>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</si>
  <si>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</si>
  <si>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</si>
  <si>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</si>
  <si>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</si>
  <si>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</si>
  <si>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</si>
  <si>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</si>
  <si>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</si>
  <si>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</si>
  <si>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</si>
  <si>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</si>
  <si>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</si>
  <si>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</si>
  <si>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</si>
  <si>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</si>
  <si>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</si>
  <si>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</si>
  <si>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P3110</t>
  </si>
  <si>
    <t>14th Finance Commission Grant Works</t>
  </si>
  <si>
    <t>November</t>
  </si>
  <si>
    <t>December</t>
  </si>
  <si>
    <t>October</t>
  </si>
  <si>
    <t>Special Development works in 7 CMC and 1 TMC area in BBMP</t>
  </si>
  <si>
    <t>P3089</t>
  </si>
  <si>
    <t>April</t>
  </si>
  <si>
    <t>18per - Works (Bhagyajyothi, Sooru / Neeru Yojane and General) (54 Lakhs / New Wards)</t>
  </si>
  <si>
    <t>P1878</t>
  </si>
  <si>
    <t>Water Supply New Areas</t>
  </si>
  <si>
    <t>P1802</t>
  </si>
  <si>
    <t>Works sanctioned by Hon Mayor</t>
  </si>
  <si>
    <t>P0190</t>
  </si>
  <si>
    <t>M/S.KRIDL</t>
  </si>
  <si>
    <t>M/S KRIDL</t>
  </si>
  <si>
    <t>Reserve fund for TandF Committee</t>
  </si>
  <si>
    <t>P2415</t>
  </si>
  <si>
    <t>14th Finance Commission Works - Road and Footpath Maintenance</t>
  </si>
  <si>
    <t>P3296</t>
  </si>
  <si>
    <t>14th Finance Commission Works - UGD Works</t>
  </si>
  <si>
    <t>P3295</t>
  </si>
  <si>
    <t>14th Finance Commission Works - Drinking Water</t>
  </si>
  <si>
    <t>P3293</t>
  </si>
  <si>
    <t>14th Finance Commission Works - Community Property Maintenance (including Parks)</t>
  </si>
  <si>
    <t>P3292</t>
  </si>
  <si>
    <t>14th Finance Commission Grants - SWD Works</t>
  </si>
  <si>
    <t>P3297</t>
  </si>
  <si>
    <t>14th Finance Commission Works - Providing Street Lights and Maintenance</t>
  </si>
  <si>
    <t>P3290</t>
  </si>
  <si>
    <t>P2201</t>
  </si>
  <si>
    <t>Assembly Constituency Development Works under BBMP</t>
  </si>
  <si>
    <t>ddo365</t>
  </si>
  <si>
    <t xml:space="preserve"> Executive Engineer Electrical Mahadevapura Zone</t>
  </si>
  <si>
    <t xml:space="preserve">KRIDL </t>
  </si>
  <si>
    <t xml:space="preserve">M/S KRIDL </t>
  </si>
  <si>
    <t>P0541</t>
  </si>
  <si>
    <t>Emergency Reserve Fund</t>
  </si>
  <si>
    <t>ddo360</t>
  </si>
  <si>
    <t xml:space="preserve"> Assistant Executive Engineer White field Mahadevapura Zone</t>
  </si>
  <si>
    <t>RAMAIAH</t>
  </si>
  <si>
    <t>Hagaduru</t>
  </si>
  <si>
    <t>084-16-000012</t>
  </si>
  <si>
    <t>Construction of Culvert and Drains at Ward No84 Hagaduru</t>
  </si>
  <si>
    <t>M. ANJINAPPA</t>
  </si>
  <si>
    <t>084-18-000069</t>
  </si>
  <si>
    <t>Improvements to 1st to 4th cross roads of 2nd main Siddapura Village in Ward No 84 Hagaduru</t>
  </si>
  <si>
    <t>The Executive Engineer-5,</t>
  </si>
  <si>
    <t>084-18-000006</t>
  </si>
  <si>
    <t>Improvements to roads and drains Nagondanahalli colony in w no 84</t>
  </si>
  <si>
    <t>The Executive Engineer-5</t>
  </si>
  <si>
    <t>084-18-000070</t>
  </si>
  <si>
    <t>Improvements to 5th to 6th cross roads of 2nd main Siddapura Village in Ward No 84 Hagaduru</t>
  </si>
  <si>
    <t>084-18-000071</t>
  </si>
  <si>
    <t>Improvements to 3rd and 4th cross roads of 1st main Siddapura Village in Ward No 84 Hagaduru</t>
  </si>
  <si>
    <t>084-18-000072</t>
  </si>
  <si>
    <t>Improvements to 1st Main Venkataramanappa home and Honni road at Siddapura Village in Ward No 84 Hagaduru</t>
  </si>
  <si>
    <t>084-18-000073</t>
  </si>
  <si>
    <t>Improvements to road from Honni road to Ramakrupa Nilaya at Siddapura Village in Ward No 84 Hagaduru</t>
  </si>
  <si>
    <t>084-16-000015</t>
  </si>
  <si>
    <t>Improvements of drain at Vijayanagar main road left side in ward no 84</t>
  </si>
  <si>
    <t>Ramaiah</t>
  </si>
  <si>
    <t>084-16-000039</t>
  </si>
  <si>
    <t>Improvementing roads and drains main road in Sai Layout in ward no 84</t>
  </si>
  <si>
    <t>TAM TAM PEDDA GURUVAREDDY</t>
  </si>
  <si>
    <t>084-16-000037</t>
  </si>
  <si>
    <t>Improvementing roads and drains Siddapura 2nd main and cross roads in ward no 84</t>
  </si>
  <si>
    <t>Tam Tam Pedda Guruvareddy</t>
  </si>
  <si>
    <t>084-16-000009</t>
  </si>
  <si>
    <t>Construction of drains behind Govt School and cross roads at Ramgondanahalli in Ward No84 Hagaduru</t>
  </si>
  <si>
    <t>084-16-000038</t>
  </si>
  <si>
    <t>Improvementing roads of Borewell road cross roads in ward no 84</t>
  </si>
  <si>
    <t>084-16-000030</t>
  </si>
  <si>
    <t>Improvement of drains and Providing slabs in Ramagondanahalli Cross roads in ward no 84</t>
  </si>
  <si>
    <t>084-13-000077</t>
  </si>
  <si>
    <t xml:space="preserve">Construction of Anganawadi Building at Hagaduru Village at Ward No 84 </t>
  </si>
  <si>
    <t>084-17-000052</t>
  </si>
  <si>
    <t>Improvements of roads from Kodihalli Ramanna house to prakash house in Nagondanahalli in ward no. 84</t>
  </si>
  <si>
    <t>084-14-000007</t>
  </si>
  <si>
    <t>Improvments of road and construction of RCC drain in Akkalappa layout Immadihally at w no 84</t>
  </si>
  <si>
    <t>P NARAYANASWAMY</t>
  </si>
  <si>
    <t>084-16-000008</t>
  </si>
  <si>
    <t>Construction of drains and culverts and CC roads at Nagondanahalli colony cross roads in Ward No84 Hagaduru</t>
  </si>
  <si>
    <t>084-17-000015</t>
  </si>
  <si>
    <t>Providing chain link Fencing to Hagaduru village BBMP Properties in ward no 84</t>
  </si>
  <si>
    <t>084-17-000016</t>
  </si>
  <si>
    <t>Providing chain link Fencing to Nagondanahalli village BBMP Properties in ward no 84</t>
  </si>
  <si>
    <t>084-16-000010</t>
  </si>
  <si>
    <t>Construction of drains behind bakery and Thota at Siddapura in Ward No84 Hagaduru</t>
  </si>
  <si>
    <t>M ANJINAPPA</t>
  </si>
  <si>
    <t>084-16-000018</t>
  </si>
  <si>
    <t>Improvement of drain at Hagaduru ward office right side road in ward no 84</t>
  </si>
  <si>
    <t>084-17-000068</t>
  </si>
  <si>
    <t>Providing and fixing of LED Street lights in Ward No 84 in Mahadevpura Division - -</t>
  </si>
  <si>
    <t>M/S Kaveri Electricals.</t>
  </si>
  <si>
    <t>084-16-000002</t>
  </si>
  <si>
    <t>Engaging Tractor and road Gang for Emergency repairs and Maintenance works at Ward No84 Hagaduru</t>
  </si>
  <si>
    <t>P.NARAYANASWAMY</t>
  </si>
  <si>
    <t>084-17-000023</t>
  </si>
  <si>
    <t>Providing New street lights in Hagaduru in ward no 84</t>
  </si>
  <si>
    <t>084-13-000048</t>
  </si>
  <si>
    <t xml:space="preserve">Providing and Laying Asphalting to Immadihalli to Nagondahalli cross roads in Hagaduru Ward No 84 </t>
  </si>
  <si>
    <t>084-17-000003</t>
  </si>
  <si>
    <t>Providing drain to Immadihalli Annapoorneshwari temple road in ward no 84</t>
  </si>
  <si>
    <t>084-17-000008</t>
  </si>
  <si>
    <t>Improvements to roads and drains of ECC road cross roads in ward 84</t>
  </si>
  <si>
    <t>084-17-000013</t>
  </si>
  <si>
    <t>Providing C C roads and precast slabs to Nalllurahalli village in ward 84</t>
  </si>
  <si>
    <t>084-17-000014</t>
  </si>
  <si>
    <t>Providing slabs and desilting of Secondary drain at Nallurahalli in ward 84</t>
  </si>
  <si>
    <t>084-16-000001</t>
  </si>
  <si>
    <t>Operation and maintanance of street light fittings in ward no 84 Hagaduru Mahadevapura Zone M04</t>
  </si>
  <si>
    <t>M/s Satya Enterprises,</t>
  </si>
  <si>
    <t>M/s Satya Enterprise,</t>
  </si>
  <si>
    <t>084-16-000005</t>
  </si>
  <si>
    <t>Maintenance and repairs of borewells pipe lines cable and pumpsets in Vijayanagara Gandhipura Siddapura and Ramgondanahalli area at Ward No84 Hagaduru</t>
  </si>
  <si>
    <t>M Anjinappa</t>
  </si>
  <si>
    <t>084-17-000042</t>
  </si>
  <si>
    <t>Maintenance and repair works  of pump and motors Pannel boards and other works at   Immadihalli Nagonadanahalli VijayanagaraGandhipura in ward no 84 Hagaduru</t>
  </si>
  <si>
    <t>P NARAYANSWAMY</t>
  </si>
  <si>
    <t>084-13-000074</t>
  </si>
  <si>
    <t xml:space="preserve">Improvements to road and drain at Immadihalli Village at Ward No84 </t>
  </si>
  <si>
    <t>084-16-000014</t>
  </si>
  <si>
    <t>Providing pipe line for water supply works at Hagaduru Ward No84</t>
  </si>
  <si>
    <t>084-17-000045</t>
  </si>
  <si>
    <t xml:space="preserve"> Water supply through water tankers in ward no 84</t>
  </si>
  <si>
    <t>P Narayanaswamy</t>
  </si>
  <si>
    <t>084-17-000044</t>
  </si>
  <si>
    <t>Sinking of bore wells and providing and fixing submersible pump sets electrification and necessary accessories at Hagadur Ward 84</t>
  </si>
  <si>
    <t>084-17-000081</t>
  </si>
  <si>
    <t>Providing drinking water through tankers in Hagaduru ward no 84</t>
  </si>
  <si>
    <t>084-17-000080</t>
  </si>
  <si>
    <t>Sinking of Borewells in Hagaduru ward no 84</t>
  </si>
  <si>
    <t>The Executive engineer-5</t>
  </si>
  <si>
    <t>084-18-000043</t>
  </si>
  <si>
    <t>Shifting of 11 KV-LT lines and  Transformers at Nagondanahalli Main road for road widening in Ward No. 84 Hagaduru</t>
  </si>
  <si>
    <t>084-18-000050</t>
  </si>
  <si>
    <t>Sinking of Borewells in Ward No.84 Hagaduru</t>
  </si>
  <si>
    <t>084-18-000049</t>
  </si>
  <si>
    <t>Additional pipe line in Ward No.84 Hagaduru</t>
  </si>
  <si>
    <t>084-18-000047</t>
  </si>
  <si>
    <t>Balance works to piped water supply scheme in Ward No.84 Hagaduru</t>
  </si>
  <si>
    <t>084-16-000032</t>
  </si>
  <si>
    <t>Improvementing roads and drains of Dharamaraya Temple street Ramagondanahalli in in Hahadur ward no 84</t>
  </si>
  <si>
    <t>TAM TAM PEDDA GURUVA REDDY</t>
  </si>
  <si>
    <t>084-16-000043</t>
  </si>
  <si>
    <t>Improvementing roads and drains of Sai layout  in ward no 84</t>
  </si>
  <si>
    <t>084-16-000044</t>
  </si>
  <si>
    <t>Improvementing roads and drains of Dhanmandi in ward no 84</t>
  </si>
  <si>
    <t>084-16-000041</t>
  </si>
  <si>
    <t>Improvementing roads and drains of Nagondanahalli cross roads in ward no 84</t>
  </si>
  <si>
    <t>084-16-000040</t>
  </si>
  <si>
    <t>Improvementing roads and drains of brookbond cross roads in  ward no 84</t>
  </si>
  <si>
    <t>084-16-000035</t>
  </si>
  <si>
    <t>Improvementing roads and drains of Dasayanakuntte Nallurahalli  in  ward no 84</t>
  </si>
  <si>
    <t xml:space="preserve">TAM TAM PEDDA GURUVA REDDY </t>
  </si>
  <si>
    <t>084-16-000034</t>
  </si>
  <si>
    <t>Improvementing roads and drains of Victorian view first gate road in Hagadur in  ward no 84</t>
  </si>
  <si>
    <t>084-16-000025</t>
  </si>
  <si>
    <t>Improvements of drain and road in Vinayaka layout at Whitefiled in ward no 84</t>
  </si>
  <si>
    <t>084-16-000036</t>
  </si>
  <si>
    <t>Improvementing roads and drains Siddapura Jogpalya cross roads   in  ward no 84</t>
  </si>
  <si>
    <t>M. Anjinappa</t>
  </si>
  <si>
    <t>084-13-000080</t>
  </si>
  <si>
    <t xml:space="preserve">Fencing of Govt land next to palm medows at Ward No 84 </t>
  </si>
  <si>
    <t>084-18-000054</t>
  </si>
  <si>
    <t>Maintenance and  Repairs to existing UGD lines in Ward No.84 Hagaduru</t>
  </si>
  <si>
    <t>MS/.KRIDL</t>
  </si>
  <si>
    <t>084-18-000046</t>
  </si>
  <si>
    <t xml:space="preserve">Maintenance of BBMP Properties at Ward No. 84 Hagaduru  </t>
  </si>
  <si>
    <t>084-18-000053</t>
  </si>
  <si>
    <t>Providing UGD lines  in Ward No.84 Hagaduru</t>
  </si>
  <si>
    <t>The Executive Engineer-5, KRIDL</t>
  </si>
  <si>
    <t>084-18-000055</t>
  </si>
  <si>
    <t>Improvements to footpath in Hagaduru Ward area at Ward No. 84 Hagaduru</t>
  </si>
  <si>
    <t>084-18-000056</t>
  </si>
  <si>
    <t>Desilting of Storm water drain in Hagaduru Ward area at Ward No. 84 Hagaduru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</si>
</sst>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tabSelected="1" workbookViewId="0">
      <selection activeCell="A2" sqref="A2:XFD61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619</v>
      </c>
      <c r="B2" s="13" t="s">
        <v>45</v>
      </c>
      <c r="C2" s="13">
        <v>43214</v>
      </c>
      <c r="D2" s="5">
        <v>84</v>
      </c>
      <c r="E2" s="6" t="s">
        <v>79</v>
      </c>
      <c r="F2" s="5" t="s">
        <v>80</v>
      </c>
      <c r="G2" s="6" t="s">
        <v>81</v>
      </c>
      <c r="H2" s="5" t="str">
        <f>"000070"</f>
        <v>000070</v>
      </c>
      <c r="I2" s="4">
        <v>42406</v>
      </c>
      <c r="J2" s="5" t="str">
        <f>"000"</f>
        <v>000</v>
      </c>
      <c r="K2" s="4">
        <v>94</v>
      </c>
      <c r="L2" s="5" t="str">
        <f>"000214"</f>
        <v>000214</v>
      </c>
      <c r="M2" s="4">
        <v>42551</v>
      </c>
      <c r="N2" s="5">
        <v>16</v>
      </c>
      <c r="O2" s="5" t="str">
        <f>"000529"</f>
        <v>000529</v>
      </c>
      <c r="P2" s="4">
        <v>43203</v>
      </c>
      <c r="Q2" s="7">
        <v>13.949780000000001</v>
      </c>
      <c r="R2" s="7">
        <v>1.7862899999999999</v>
      </c>
      <c r="S2" s="7">
        <v>12.163489999999999</v>
      </c>
      <c r="T2" s="5">
        <v>23</v>
      </c>
      <c r="U2" s="4">
        <v>43214</v>
      </c>
      <c r="V2" s="5">
        <v>8951120986</v>
      </c>
      <c r="W2" s="6" t="s">
        <v>82</v>
      </c>
      <c r="X2" s="5" t="s">
        <v>30</v>
      </c>
      <c r="Y2" s="6" t="s">
        <v>31</v>
      </c>
      <c r="Z2" s="5" t="s">
        <v>76</v>
      </c>
      <c r="AA2" s="6" t="s">
        <v>77</v>
      </c>
      <c r="AB2" s="7">
        <v>0.13949780000000001</v>
      </c>
      <c r="AD2" s="8"/>
      <c r="AF2" s="8"/>
      <c r="AG2" s="8"/>
    </row>
    <row r="3" spans="1:33" x14ac:dyDescent="0.2">
      <c r="A3" s="12">
        <v>720</v>
      </c>
      <c r="B3" s="13" t="s">
        <v>45</v>
      </c>
      <c r="C3" s="13">
        <v>43216</v>
      </c>
      <c r="D3" s="5">
        <v>84</v>
      </c>
      <c r="E3" s="6" t="s">
        <v>79</v>
      </c>
      <c r="F3" s="5" t="s">
        <v>83</v>
      </c>
      <c r="G3" s="6" t="s">
        <v>84</v>
      </c>
      <c r="H3" s="5" t="str">
        <f>"000008"</f>
        <v>000008</v>
      </c>
      <c r="I3" s="4">
        <v>43210</v>
      </c>
      <c r="J3" s="5" t="str">
        <f>"000009"</f>
        <v>000009</v>
      </c>
      <c r="K3" s="4">
        <v>43210</v>
      </c>
      <c r="L3" s="5" t="str">
        <f>"000019"</f>
        <v>000019</v>
      </c>
      <c r="M3" s="4">
        <v>43210</v>
      </c>
      <c r="N3" s="5">
        <v>18</v>
      </c>
      <c r="O3" s="5" t="str">
        <f>"000716"</f>
        <v>000716</v>
      </c>
      <c r="P3" s="4">
        <v>43216</v>
      </c>
      <c r="Q3" s="7">
        <v>29.996169999999999</v>
      </c>
      <c r="R3" s="7">
        <v>2.9399199999999999</v>
      </c>
      <c r="S3" s="7">
        <v>27.056249999999999</v>
      </c>
      <c r="T3" s="5">
        <v>25</v>
      </c>
      <c r="U3" s="4">
        <v>43216</v>
      </c>
      <c r="V3" s="5">
        <v>9480828222</v>
      </c>
      <c r="W3" s="6" t="s">
        <v>85</v>
      </c>
      <c r="X3" s="5" t="s">
        <v>47</v>
      </c>
      <c r="Y3" s="6" t="s">
        <v>46</v>
      </c>
      <c r="Z3" s="5" t="s">
        <v>76</v>
      </c>
      <c r="AA3" s="6" t="s">
        <v>77</v>
      </c>
      <c r="AB3" s="7">
        <v>0.2999617</v>
      </c>
      <c r="AD3" s="8"/>
      <c r="AF3" s="8"/>
      <c r="AG3" s="8"/>
    </row>
    <row r="4" spans="1:33" x14ac:dyDescent="0.2">
      <c r="A4" s="12">
        <v>721</v>
      </c>
      <c r="B4" s="13" t="s">
        <v>45</v>
      </c>
      <c r="C4" s="13">
        <v>43216</v>
      </c>
      <c r="D4" s="5">
        <v>84</v>
      </c>
      <c r="E4" s="6" t="s">
        <v>79</v>
      </c>
      <c r="F4" s="5" t="s">
        <v>86</v>
      </c>
      <c r="G4" s="6" t="s">
        <v>87</v>
      </c>
      <c r="H4" s="5" t="str">
        <f>"000007"</f>
        <v>000007</v>
      </c>
      <c r="I4" s="4">
        <v>43210</v>
      </c>
      <c r="J4" s="5" t="str">
        <f>"000008"</f>
        <v>000008</v>
      </c>
      <c r="K4" s="4">
        <v>43210</v>
      </c>
      <c r="L4" s="5" t="str">
        <f>"000018"</f>
        <v>000018</v>
      </c>
      <c r="M4" s="4">
        <v>43210</v>
      </c>
      <c r="N4" s="5">
        <v>18</v>
      </c>
      <c r="O4" s="5" t="str">
        <f>"000717"</f>
        <v>000717</v>
      </c>
      <c r="P4" s="4">
        <v>43216</v>
      </c>
      <c r="Q4" s="7">
        <v>24.962230000000002</v>
      </c>
      <c r="R4" s="7">
        <v>2.4641700000000002</v>
      </c>
      <c r="S4" s="7">
        <v>22.498059999999999</v>
      </c>
      <c r="T4" s="5">
        <v>25</v>
      </c>
      <c r="U4" s="4">
        <v>43216</v>
      </c>
      <c r="V4" s="5">
        <v>9480828222</v>
      </c>
      <c r="W4" s="6" t="s">
        <v>88</v>
      </c>
      <c r="X4" s="5" t="s">
        <v>47</v>
      </c>
      <c r="Y4" s="6" t="s">
        <v>46</v>
      </c>
      <c r="Z4" s="5" t="s">
        <v>76</v>
      </c>
      <c r="AA4" s="6" t="s">
        <v>77</v>
      </c>
      <c r="AB4" s="7">
        <v>0.24962230000000002</v>
      </c>
      <c r="AD4" s="8"/>
      <c r="AF4" s="8"/>
      <c r="AG4" s="8"/>
    </row>
    <row r="5" spans="1:33" x14ac:dyDescent="0.2">
      <c r="A5" s="12">
        <v>722</v>
      </c>
      <c r="B5" s="13" t="s">
        <v>45</v>
      </c>
      <c r="C5" s="13">
        <v>43216</v>
      </c>
      <c r="D5" s="5">
        <v>84</v>
      </c>
      <c r="E5" s="6" t="s">
        <v>79</v>
      </c>
      <c r="F5" s="5" t="s">
        <v>89</v>
      </c>
      <c r="G5" s="6" t="s">
        <v>90</v>
      </c>
      <c r="H5" s="5" t="str">
        <f>"000009"</f>
        <v>000009</v>
      </c>
      <c r="I5" s="4">
        <v>43210</v>
      </c>
      <c r="J5" s="5" t="str">
        <f>"000010"</f>
        <v>000010</v>
      </c>
      <c r="K5" s="4">
        <v>43211</v>
      </c>
      <c r="L5" s="5" t="str">
        <f>"000020"</f>
        <v>000020</v>
      </c>
      <c r="M5" s="4">
        <v>43211</v>
      </c>
      <c r="N5" s="5">
        <v>18</v>
      </c>
      <c r="O5" s="5" t="str">
        <f>"000718"</f>
        <v>000718</v>
      </c>
      <c r="P5" s="4">
        <v>43216</v>
      </c>
      <c r="Q5" s="7">
        <v>29.980429999999998</v>
      </c>
      <c r="R5" s="7">
        <v>2.9395699999999998</v>
      </c>
      <c r="S5" s="7">
        <v>27.040859999999999</v>
      </c>
      <c r="T5" s="5">
        <v>25</v>
      </c>
      <c r="U5" s="4">
        <v>43216</v>
      </c>
      <c r="V5" s="5">
        <v>9480828222</v>
      </c>
      <c r="W5" s="6" t="s">
        <v>85</v>
      </c>
      <c r="X5" s="5" t="s">
        <v>47</v>
      </c>
      <c r="Y5" s="6" t="s">
        <v>46</v>
      </c>
      <c r="Z5" s="5" t="s">
        <v>76</v>
      </c>
      <c r="AA5" s="6" t="s">
        <v>77</v>
      </c>
      <c r="AB5" s="7">
        <v>0.29980429999999997</v>
      </c>
      <c r="AD5" s="8"/>
      <c r="AF5" s="8"/>
      <c r="AG5" s="8"/>
    </row>
    <row r="6" spans="1:33" x14ac:dyDescent="0.2">
      <c r="A6" s="12">
        <v>723</v>
      </c>
      <c r="B6" s="13" t="s">
        <v>45</v>
      </c>
      <c r="C6" s="13">
        <v>43216</v>
      </c>
      <c r="D6" s="5">
        <v>84</v>
      </c>
      <c r="E6" s="6" t="s">
        <v>79</v>
      </c>
      <c r="F6" s="5" t="s">
        <v>91</v>
      </c>
      <c r="G6" s="6" t="s">
        <v>92</v>
      </c>
      <c r="H6" s="5" t="str">
        <f>"000010"</f>
        <v>000010</v>
      </c>
      <c r="I6" s="4">
        <v>43211</v>
      </c>
      <c r="J6" s="5" t="str">
        <f>"000011"</f>
        <v>000011</v>
      </c>
      <c r="K6" s="4">
        <v>43211</v>
      </c>
      <c r="L6" s="5" t="str">
        <f>"000021"</f>
        <v>000021</v>
      </c>
      <c r="M6" s="4">
        <v>43211</v>
      </c>
      <c r="N6" s="5">
        <v>18</v>
      </c>
      <c r="O6" s="5" t="str">
        <f>"000719"</f>
        <v>000719</v>
      </c>
      <c r="P6" s="4">
        <v>43216</v>
      </c>
      <c r="Q6" s="7">
        <v>29.966919999999998</v>
      </c>
      <c r="R6" s="7">
        <v>2.9392999999999998</v>
      </c>
      <c r="S6" s="7">
        <v>27.027619999999999</v>
      </c>
      <c r="T6" s="5">
        <v>25</v>
      </c>
      <c r="U6" s="4">
        <v>43216</v>
      </c>
      <c r="V6" s="5">
        <v>9480828222</v>
      </c>
      <c r="W6" s="6" t="s">
        <v>85</v>
      </c>
      <c r="X6" s="5" t="s">
        <v>47</v>
      </c>
      <c r="Y6" s="6" t="s">
        <v>46</v>
      </c>
      <c r="Z6" s="5" t="s">
        <v>76</v>
      </c>
      <c r="AA6" s="6" t="s">
        <v>77</v>
      </c>
      <c r="AB6" s="7">
        <v>0.29966919999999997</v>
      </c>
      <c r="AD6" s="8"/>
      <c r="AF6" s="8"/>
      <c r="AG6" s="8"/>
    </row>
    <row r="7" spans="1:33" x14ac:dyDescent="0.2">
      <c r="A7" s="12">
        <v>724</v>
      </c>
      <c r="B7" s="13" t="s">
        <v>45</v>
      </c>
      <c r="C7" s="13">
        <v>43216</v>
      </c>
      <c r="D7" s="5">
        <v>84</v>
      </c>
      <c r="E7" s="6" t="s">
        <v>79</v>
      </c>
      <c r="F7" s="5" t="s">
        <v>93</v>
      </c>
      <c r="G7" s="6" t="s">
        <v>94</v>
      </c>
      <c r="H7" s="5" t="str">
        <f>"000011"</f>
        <v>000011</v>
      </c>
      <c r="I7" s="4">
        <v>43211</v>
      </c>
      <c r="J7" s="5" t="str">
        <f>"000012"</f>
        <v>000012</v>
      </c>
      <c r="K7" s="4">
        <v>43211</v>
      </c>
      <c r="L7" s="5" t="str">
        <f>"000022"</f>
        <v>000022</v>
      </c>
      <c r="M7" s="4">
        <v>43211</v>
      </c>
      <c r="N7" s="5">
        <v>18</v>
      </c>
      <c r="O7" s="5" t="str">
        <f>"000720"</f>
        <v>000720</v>
      </c>
      <c r="P7" s="4">
        <v>43216</v>
      </c>
      <c r="Q7" s="7">
        <v>24.979209999999998</v>
      </c>
      <c r="R7" s="7">
        <v>2.44455</v>
      </c>
      <c r="S7" s="7">
        <v>22.534659999999999</v>
      </c>
      <c r="T7" s="5">
        <v>25</v>
      </c>
      <c r="U7" s="4">
        <v>43216</v>
      </c>
      <c r="V7" s="5">
        <v>9480828222</v>
      </c>
      <c r="W7" s="6" t="s">
        <v>88</v>
      </c>
      <c r="X7" s="5" t="s">
        <v>47</v>
      </c>
      <c r="Y7" s="6" t="s">
        <v>46</v>
      </c>
      <c r="Z7" s="5" t="s">
        <v>76</v>
      </c>
      <c r="AA7" s="6" t="s">
        <v>77</v>
      </c>
      <c r="AB7" s="7">
        <v>0.24979209999999999</v>
      </c>
      <c r="AD7" s="8"/>
      <c r="AF7" s="8"/>
      <c r="AG7" s="8"/>
    </row>
    <row r="8" spans="1:33" x14ac:dyDescent="0.2">
      <c r="A8" s="12">
        <v>725</v>
      </c>
      <c r="B8" s="13" t="s">
        <v>45</v>
      </c>
      <c r="C8" s="13">
        <v>43216</v>
      </c>
      <c r="D8" s="5">
        <v>84</v>
      </c>
      <c r="E8" s="6" t="s">
        <v>79</v>
      </c>
      <c r="F8" s="5" t="s">
        <v>95</v>
      </c>
      <c r="G8" s="6" t="s">
        <v>96</v>
      </c>
      <c r="H8" s="5" t="str">
        <f>"000012"</f>
        <v>000012</v>
      </c>
      <c r="I8" s="4">
        <v>43211</v>
      </c>
      <c r="J8" s="5" t="str">
        <f>"000013"</f>
        <v>000013</v>
      </c>
      <c r="K8" s="4">
        <v>43211</v>
      </c>
      <c r="L8" s="5" t="str">
        <f>"000023"</f>
        <v>000023</v>
      </c>
      <c r="M8" s="4">
        <v>43211</v>
      </c>
      <c r="N8" s="5">
        <v>18</v>
      </c>
      <c r="O8" s="5" t="str">
        <f>"000721"</f>
        <v>000721</v>
      </c>
      <c r="P8" s="4">
        <v>43216</v>
      </c>
      <c r="Q8" s="7">
        <v>9.9819200000000006</v>
      </c>
      <c r="R8" s="7">
        <v>0.97960999999999998</v>
      </c>
      <c r="S8" s="7">
        <v>9.0023099999999996</v>
      </c>
      <c r="T8" s="5">
        <v>25</v>
      </c>
      <c r="U8" s="4">
        <v>43216</v>
      </c>
      <c r="V8" s="5">
        <v>9480828222</v>
      </c>
      <c r="W8" s="6" t="s">
        <v>85</v>
      </c>
      <c r="X8" s="5" t="s">
        <v>47</v>
      </c>
      <c r="Y8" s="6" t="s">
        <v>46</v>
      </c>
      <c r="Z8" s="5" t="s">
        <v>76</v>
      </c>
      <c r="AA8" s="6" t="s">
        <v>77</v>
      </c>
      <c r="AB8" s="7">
        <v>9.9819200000000011E-2</v>
      </c>
      <c r="AD8" s="8"/>
      <c r="AF8" s="8"/>
      <c r="AG8" s="8"/>
    </row>
    <row r="9" spans="1:33" x14ac:dyDescent="0.2">
      <c r="A9" s="12">
        <v>1194</v>
      </c>
      <c r="B9" s="13" t="s">
        <v>36</v>
      </c>
      <c r="C9" s="13">
        <v>43238</v>
      </c>
      <c r="D9" s="5">
        <v>84</v>
      </c>
      <c r="E9" s="6" t="s">
        <v>79</v>
      </c>
      <c r="F9" s="5" t="s">
        <v>97</v>
      </c>
      <c r="G9" s="6" t="s">
        <v>98</v>
      </c>
      <c r="H9" s="5" t="str">
        <f>"000134"</f>
        <v>000134</v>
      </c>
      <c r="I9" s="4">
        <v>42545</v>
      </c>
      <c r="J9" s="5" t="str">
        <f>"000114"</f>
        <v>000114</v>
      </c>
      <c r="K9" s="4">
        <v>42581</v>
      </c>
      <c r="L9" s="5" t="str">
        <f>"000269"</f>
        <v>000269</v>
      </c>
      <c r="M9" s="4">
        <v>42581</v>
      </c>
      <c r="N9" s="5">
        <v>16</v>
      </c>
      <c r="O9" s="5" t="str">
        <f>"001410"</f>
        <v>001410</v>
      </c>
      <c r="P9" s="4">
        <v>43236</v>
      </c>
      <c r="Q9" s="7">
        <v>19.397400000000001</v>
      </c>
      <c r="R9" s="7">
        <v>2.5373600000000001</v>
      </c>
      <c r="S9" s="7">
        <v>16.860040000000001</v>
      </c>
      <c r="T9" s="5">
        <v>52</v>
      </c>
      <c r="U9" s="4">
        <v>43238</v>
      </c>
      <c r="V9" s="5">
        <v>9980728302</v>
      </c>
      <c r="W9" s="6" t="s">
        <v>99</v>
      </c>
      <c r="X9" s="5" t="s">
        <v>44</v>
      </c>
      <c r="Y9" s="6" t="s">
        <v>43</v>
      </c>
      <c r="Z9" s="5" t="s">
        <v>76</v>
      </c>
      <c r="AA9" s="6" t="s">
        <v>77</v>
      </c>
      <c r="AB9" s="7">
        <v>0.19397400000000001</v>
      </c>
      <c r="AD9" s="8"/>
      <c r="AF9" s="8"/>
      <c r="AG9" s="8"/>
    </row>
    <row r="10" spans="1:33" x14ac:dyDescent="0.2">
      <c r="A10" s="12">
        <v>1195</v>
      </c>
      <c r="B10" s="13" t="s">
        <v>36</v>
      </c>
      <c r="C10" s="13">
        <v>43238</v>
      </c>
      <c r="D10" s="5">
        <v>84</v>
      </c>
      <c r="E10" s="6" t="s">
        <v>79</v>
      </c>
      <c r="F10" s="5" t="s">
        <v>100</v>
      </c>
      <c r="G10" s="6" t="s">
        <v>101</v>
      </c>
      <c r="H10" s="5" t="str">
        <f>"0"</f>
        <v>0</v>
      </c>
      <c r="I10" s="4">
        <v>111</v>
      </c>
      <c r="J10" s="5" t="str">
        <f>"0"</f>
        <v>0</v>
      </c>
      <c r="K10" s="4">
        <v>141</v>
      </c>
      <c r="L10" s="5" t="str">
        <f>"000325"</f>
        <v>000325</v>
      </c>
      <c r="M10" s="4">
        <v>42612</v>
      </c>
      <c r="N10" s="5">
        <v>16</v>
      </c>
      <c r="O10" s="5" t="str">
        <f>"001452"</f>
        <v>001452</v>
      </c>
      <c r="P10" s="4">
        <v>43236</v>
      </c>
      <c r="Q10" s="7">
        <v>20.63298</v>
      </c>
      <c r="R10" s="7">
        <v>2.7413699999999999</v>
      </c>
      <c r="S10" s="7">
        <v>17.89161</v>
      </c>
      <c r="T10" s="5">
        <v>52</v>
      </c>
      <c r="U10" s="4">
        <v>43238</v>
      </c>
      <c r="V10" s="5">
        <v>9164137081</v>
      </c>
      <c r="W10" s="6" t="s">
        <v>102</v>
      </c>
      <c r="X10" s="5" t="s">
        <v>51</v>
      </c>
      <c r="Y10" s="6" t="s">
        <v>50</v>
      </c>
      <c r="Z10" s="5" t="s">
        <v>76</v>
      </c>
      <c r="AA10" s="6" t="s">
        <v>77</v>
      </c>
      <c r="AB10" s="7">
        <v>0.20632980000000001</v>
      </c>
      <c r="AD10" s="8"/>
      <c r="AF10" s="8"/>
      <c r="AG10" s="8"/>
    </row>
    <row r="11" spans="1:33" x14ac:dyDescent="0.2">
      <c r="A11" s="12">
        <v>1196</v>
      </c>
      <c r="B11" s="13" t="s">
        <v>36</v>
      </c>
      <c r="C11" s="13">
        <v>43238</v>
      </c>
      <c r="D11" s="5">
        <v>84</v>
      </c>
      <c r="E11" s="6" t="s">
        <v>79</v>
      </c>
      <c r="F11" s="5" t="s">
        <v>103</v>
      </c>
      <c r="G11" s="6" t="s">
        <v>104</v>
      </c>
      <c r="H11" s="5" t="str">
        <f>"000112"</f>
        <v>000112</v>
      </c>
      <c r="I11" s="4">
        <v>42525</v>
      </c>
      <c r="J11" s="5" t="str">
        <f>"000142"</f>
        <v>000142</v>
      </c>
      <c r="K11" s="4">
        <v>42612</v>
      </c>
      <c r="L11" s="5" t="str">
        <f>"000326"</f>
        <v>000326</v>
      </c>
      <c r="M11" s="4">
        <v>42612</v>
      </c>
      <c r="N11" s="5">
        <v>16</v>
      </c>
      <c r="O11" s="5" t="str">
        <f>"001454"</f>
        <v>001454</v>
      </c>
      <c r="P11" s="4">
        <v>43236</v>
      </c>
      <c r="Q11" s="7">
        <v>20.380800000000001</v>
      </c>
      <c r="R11" s="7">
        <v>2.6818</v>
      </c>
      <c r="S11" s="7">
        <v>17.699000000000002</v>
      </c>
      <c r="T11" s="5">
        <v>52</v>
      </c>
      <c r="U11" s="4">
        <v>43238</v>
      </c>
      <c r="V11" s="5">
        <v>9164137081</v>
      </c>
      <c r="W11" s="6" t="s">
        <v>105</v>
      </c>
      <c r="X11" s="5" t="s">
        <v>51</v>
      </c>
      <c r="Y11" s="6" t="s">
        <v>50</v>
      </c>
      <c r="Z11" s="5" t="s">
        <v>76</v>
      </c>
      <c r="AA11" s="6" t="s">
        <v>77</v>
      </c>
      <c r="AB11" s="7">
        <v>0.20380800000000002</v>
      </c>
      <c r="AD11" s="8"/>
      <c r="AF11" s="8"/>
      <c r="AG11" s="8"/>
    </row>
    <row r="12" spans="1:33" x14ac:dyDescent="0.2">
      <c r="A12" s="12">
        <v>1197</v>
      </c>
      <c r="B12" s="13" t="s">
        <v>36</v>
      </c>
      <c r="C12" s="13">
        <v>43238</v>
      </c>
      <c r="D12" s="5">
        <v>84</v>
      </c>
      <c r="E12" s="6" t="s">
        <v>79</v>
      </c>
      <c r="F12" s="5" t="s">
        <v>106</v>
      </c>
      <c r="G12" s="6" t="s">
        <v>107</v>
      </c>
      <c r="H12" s="5" t="str">
        <f>"000127"</f>
        <v>000127</v>
      </c>
      <c r="I12" s="4">
        <v>42530</v>
      </c>
      <c r="J12" s="5" t="str">
        <f>"000143"</f>
        <v>000143</v>
      </c>
      <c r="K12" s="4">
        <v>42612</v>
      </c>
      <c r="L12" s="5" t="str">
        <f>"000327"</f>
        <v>000327</v>
      </c>
      <c r="M12" s="4">
        <v>42612</v>
      </c>
      <c r="N12" s="5">
        <v>16</v>
      </c>
      <c r="O12" s="5" t="str">
        <f>"001456"</f>
        <v>001456</v>
      </c>
      <c r="P12" s="4">
        <v>43236</v>
      </c>
      <c r="Q12" s="7">
        <v>15.392010000000001</v>
      </c>
      <c r="R12" s="7">
        <v>1.96618</v>
      </c>
      <c r="S12" s="7">
        <v>13.425829999999999</v>
      </c>
      <c r="T12" s="5">
        <v>52</v>
      </c>
      <c r="U12" s="4">
        <v>43238</v>
      </c>
      <c r="V12" s="5">
        <v>9164137081</v>
      </c>
      <c r="W12" s="6" t="s">
        <v>102</v>
      </c>
      <c r="X12" s="5" t="s">
        <v>30</v>
      </c>
      <c r="Y12" s="6" t="s">
        <v>31</v>
      </c>
      <c r="Z12" s="5" t="s">
        <v>76</v>
      </c>
      <c r="AA12" s="6" t="s">
        <v>77</v>
      </c>
      <c r="AB12" s="7">
        <v>0.1539201</v>
      </c>
      <c r="AD12" s="8"/>
      <c r="AF12" s="8"/>
      <c r="AG12" s="8"/>
    </row>
    <row r="13" spans="1:33" x14ac:dyDescent="0.2">
      <c r="A13" s="12">
        <v>1198</v>
      </c>
      <c r="B13" s="13" t="s">
        <v>36</v>
      </c>
      <c r="C13" s="13">
        <v>43238</v>
      </c>
      <c r="D13" s="5">
        <v>84</v>
      </c>
      <c r="E13" s="6" t="s">
        <v>79</v>
      </c>
      <c r="F13" s="5" t="s">
        <v>108</v>
      </c>
      <c r="G13" s="6" t="s">
        <v>109</v>
      </c>
      <c r="H13" s="5" t="str">
        <f>"000109"</f>
        <v>000109</v>
      </c>
      <c r="I13" s="4">
        <v>42525</v>
      </c>
      <c r="J13" s="5" t="str">
        <f>"000144"</f>
        <v>000144</v>
      </c>
      <c r="K13" s="4">
        <v>42612</v>
      </c>
      <c r="L13" s="5" t="str">
        <f>"000328"</f>
        <v>000328</v>
      </c>
      <c r="M13" s="4">
        <v>42612</v>
      </c>
      <c r="N13" s="5">
        <v>16</v>
      </c>
      <c r="O13" s="5" t="str">
        <f>"001457"</f>
        <v>001457</v>
      </c>
      <c r="P13" s="4">
        <v>43236</v>
      </c>
      <c r="Q13" s="7">
        <v>20.368300000000001</v>
      </c>
      <c r="R13" s="7">
        <v>2.6880299999999999</v>
      </c>
      <c r="S13" s="7">
        <v>17.68027</v>
      </c>
      <c r="T13" s="5">
        <v>52</v>
      </c>
      <c r="U13" s="4">
        <v>43238</v>
      </c>
      <c r="V13" s="5">
        <v>9164137081</v>
      </c>
      <c r="W13" s="6" t="s">
        <v>102</v>
      </c>
      <c r="X13" s="5" t="s">
        <v>51</v>
      </c>
      <c r="Y13" s="6" t="s">
        <v>50</v>
      </c>
      <c r="Z13" s="5" t="s">
        <v>76</v>
      </c>
      <c r="AA13" s="6" t="s">
        <v>77</v>
      </c>
      <c r="AB13" s="7">
        <v>0.203683</v>
      </c>
      <c r="AD13" s="8"/>
      <c r="AF13" s="8"/>
      <c r="AG13" s="8"/>
    </row>
    <row r="14" spans="1:33" x14ac:dyDescent="0.2">
      <c r="A14" s="12">
        <v>1199</v>
      </c>
      <c r="B14" s="13" t="s">
        <v>36</v>
      </c>
      <c r="C14" s="13">
        <v>43238</v>
      </c>
      <c r="D14" s="5">
        <v>84</v>
      </c>
      <c r="E14" s="6" t="s">
        <v>79</v>
      </c>
      <c r="F14" s="5" t="s">
        <v>110</v>
      </c>
      <c r="G14" s="6" t="s">
        <v>111</v>
      </c>
      <c r="H14" s="5" t="str">
        <f>"000101"</f>
        <v>000101</v>
      </c>
      <c r="I14" s="4">
        <v>42523</v>
      </c>
      <c r="J14" s="5" t="str">
        <f>"000145"</f>
        <v>000145</v>
      </c>
      <c r="K14" s="4">
        <v>42612</v>
      </c>
      <c r="L14" s="5" t="str">
        <f>"000329"</f>
        <v>000329</v>
      </c>
      <c r="M14" s="4">
        <v>42612</v>
      </c>
      <c r="N14" s="5">
        <v>16</v>
      </c>
      <c r="O14" s="5" t="str">
        <f>"001459"</f>
        <v>001459</v>
      </c>
      <c r="P14" s="4">
        <v>43236</v>
      </c>
      <c r="Q14" s="7">
        <v>20.721029999999999</v>
      </c>
      <c r="R14" s="7">
        <v>2.7200500000000001</v>
      </c>
      <c r="S14" s="7">
        <v>18.000979999999998</v>
      </c>
      <c r="T14" s="5">
        <v>52</v>
      </c>
      <c r="U14" s="4">
        <v>43238</v>
      </c>
      <c r="V14" s="5">
        <v>9164137081</v>
      </c>
      <c r="W14" s="6" t="s">
        <v>102</v>
      </c>
      <c r="X14" s="5" t="s">
        <v>51</v>
      </c>
      <c r="Y14" s="6" t="s">
        <v>50</v>
      </c>
      <c r="Z14" s="5" t="s">
        <v>76</v>
      </c>
      <c r="AA14" s="6" t="s">
        <v>77</v>
      </c>
      <c r="AB14" s="7">
        <v>0.20721029999999999</v>
      </c>
      <c r="AD14" s="8"/>
      <c r="AF14" s="8"/>
      <c r="AG14" s="8"/>
    </row>
    <row r="15" spans="1:33" x14ac:dyDescent="0.2">
      <c r="A15" s="12">
        <v>1200</v>
      </c>
      <c r="B15" s="13" t="s">
        <v>36</v>
      </c>
      <c r="C15" s="13">
        <v>43238</v>
      </c>
      <c r="D15" s="5">
        <v>84</v>
      </c>
      <c r="E15" s="6" t="s">
        <v>79</v>
      </c>
      <c r="F15" s="5" t="s">
        <v>112</v>
      </c>
      <c r="G15" s="6" t="s">
        <v>113</v>
      </c>
      <c r="H15" s="5" t="str">
        <f>"00"</f>
        <v>00</v>
      </c>
      <c r="I15" s="4">
        <v>133</v>
      </c>
      <c r="J15" s="5" t="str">
        <f>"000113"</f>
        <v>000113</v>
      </c>
      <c r="K15" s="4">
        <v>42581</v>
      </c>
      <c r="L15" s="5" t="str">
        <f>"000335"</f>
        <v>000335</v>
      </c>
      <c r="M15" s="4">
        <v>42612</v>
      </c>
      <c r="N15" s="5">
        <v>13</v>
      </c>
      <c r="O15" s="5" t="str">
        <f>"001460"</f>
        <v>001460</v>
      </c>
      <c r="P15" s="4">
        <v>43236</v>
      </c>
      <c r="Q15" s="7">
        <v>11.091390000000001</v>
      </c>
      <c r="R15" s="7">
        <v>1.66422</v>
      </c>
      <c r="S15" s="7">
        <v>9.4271700000000003</v>
      </c>
      <c r="T15" s="5">
        <v>52</v>
      </c>
      <c r="U15" s="4">
        <v>43238</v>
      </c>
      <c r="V15" s="5">
        <v>9480828222</v>
      </c>
      <c r="W15" s="6" t="s">
        <v>53</v>
      </c>
      <c r="X15" s="5" t="s">
        <v>74</v>
      </c>
      <c r="Y15" s="6" t="s">
        <v>75</v>
      </c>
      <c r="Z15" s="5" t="s">
        <v>76</v>
      </c>
      <c r="AA15" s="6" t="s">
        <v>77</v>
      </c>
      <c r="AB15" s="7">
        <v>0.11091390000000001</v>
      </c>
      <c r="AD15" s="8"/>
      <c r="AF15" s="8"/>
      <c r="AG15" s="8"/>
    </row>
    <row r="16" spans="1:33" x14ac:dyDescent="0.2">
      <c r="A16" s="12">
        <v>1321</v>
      </c>
      <c r="B16" s="13" t="s">
        <v>36</v>
      </c>
      <c r="C16" s="13">
        <v>43241</v>
      </c>
      <c r="D16" s="5">
        <v>84</v>
      </c>
      <c r="E16" s="6" t="s">
        <v>79</v>
      </c>
      <c r="F16" s="5" t="s">
        <v>114</v>
      </c>
      <c r="G16" s="6" t="s">
        <v>115</v>
      </c>
      <c r="H16" s="5" t="str">
        <f>"000013"</f>
        <v>000013</v>
      </c>
      <c r="I16" s="4">
        <v>43211</v>
      </c>
      <c r="J16" s="5" t="str">
        <f>"000014"</f>
        <v>000014</v>
      </c>
      <c r="K16" s="4">
        <v>43211</v>
      </c>
      <c r="L16" s="5" t="str">
        <f>"000024"</f>
        <v>000024</v>
      </c>
      <c r="M16" s="4">
        <v>43211</v>
      </c>
      <c r="N16" s="5">
        <v>17</v>
      </c>
      <c r="O16" s="5" t="str">
        <f>"001653"</f>
        <v>001653</v>
      </c>
      <c r="P16" s="4">
        <v>43239</v>
      </c>
      <c r="Q16" s="7">
        <v>9.9956099999999992</v>
      </c>
      <c r="R16" s="7">
        <v>1.4899100000000001</v>
      </c>
      <c r="S16" s="7">
        <v>8.5056999999999992</v>
      </c>
      <c r="T16" s="5">
        <v>55</v>
      </c>
      <c r="U16" s="4">
        <v>43241</v>
      </c>
      <c r="V16" s="5">
        <v>9480828222</v>
      </c>
      <c r="W16" s="6" t="s">
        <v>88</v>
      </c>
      <c r="X16" s="5" t="s">
        <v>28</v>
      </c>
      <c r="Y16" s="6" t="s">
        <v>29</v>
      </c>
      <c r="Z16" s="5" t="s">
        <v>76</v>
      </c>
      <c r="AA16" s="6" t="s">
        <v>77</v>
      </c>
      <c r="AB16" s="7">
        <v>9.9956099999999992E-2</v>
      </c>
      <c r="AD16" s="8"/>
      <c r="AF16" s="8"/>
      <c r="AG16" s="8"/>
    </row>
    <row r="17" spans="1:33" x14ac:dyDescent="0.2">
      <c r="A17" s="12">
        <v>1534</v>
      </c>
      <c r="B17" s="13" t="s">
        <v>36</v>
      </c>
      <c r="C17" s="13">
        <v>43251</v>
      </c>
      <c r="D17" s="5">
        <v>84</v>
      </c>
      <c r="E17" s="6" t="s">
        <v>79</v>
      </c>
      <c r="F17" s="5" t="s">
        <v>116</v>
      </c>
      <c r="G17" s="6" t="s">
        <v>117</v>
      </c>
      <c r="H17" s="5" t="str">
        <f>"000014"</f>
        <v>000014</v>
      </c>
      <c r="I17" s="4">
        <v>41783</v>
      </c>
      <c r="J17" s="5" t="str">
        <f>"000079"</f>
        <v>000079</v>
      </c>
      <c r="K17" s="4">
        <v>42551</v>
      </c>
      <c r="L17" s="5" t="str">
        <f>"000171"</f>
        <v>000171</v>
      </c>
      <c r="M17" s="4">
        <v>42551</v>
      </c>
      <c r="N17" s="5">
        <v>14</v>
      </c>
      <c r="O17" s="5" t="str">
        <f>"001963"</f>
        <v>001963</v>
      </c>
      <c r="P17" s="4">
        <v>43246</v>
      </c>
      <c r="Q17" s="7">
        <v>9.7965599999999995</v>
      </c>
      <c r="R17" s="7">
        <v>1.3770100000000001</v>
      </c>
      <c r="S17" s="7">
        <v>8.4195499999999992</v>
      </c>
      <c r="T17" s="5">
        <v>67</v>
      </c>
      <c r="U17" s="4">
        <v>43251</v>
      </c>
      <c r="V17" s="5">
        <v>9448593413</v>
      </c>
      <c r="W17" s="6" t="s">
        <v>118</v>
      </c>
      <c r="X17" s="5" t="s">
        <v>30</v>
      </c>
      <c r="Y17" s="6" t="s">
        <v>31</v>
      </c>
      <c r="Z17" s="5" t="s">
        <v>76</v>
      </c>
      <c r="AA17" s="6" t="s">
        <v>77</v>
      </c>
      <c r="AB17" s="7">
        <v>9.79656E-2</v>
      </c>
      <c r="AD17" s="8"/>
      <c r="AF17" s="8"/>
      <c r="AG17" s="8"/>
    </row>
    <row r="18" spans="1:33" x14ac:dyDescent="0.2">
      <c r="A18" s="12">
        <v>1535</v>
      </c>
      <c r="B18" s="13" t="s">
        <v>36</v>
      </c>
      <c r="C18" s="13">
        <v>43251</v>
      </c>
      <c r="D18" s="5">
        <v>84</v>
      </c>
      <c r="E18" s="6" t="s">
        <v>79</v>
      </c>
      <c r="F18" s="5" t="s">
        <v>119</v>
      </c>
      <c r="G18" s="6" t="s">
        <v>120</v>
      </c>
      <c r="H18" s="5" t="str">
        <f>"000064"</f>
        <v>000064</v>
      </c>
      <c r="I18" s="4">
        <v>42406</v>
      </c>
      <c r="J18" s="5" t="str">
        <f>"00"</f>
        <v>00</v>
      </c>
      <c r="K18" s="4">
        <v>116</v>
      </c>
      <c r="L18" s="5" t="str">
        <f>"000270"</f>
        <v>000270</v>
      </c>
      <c r="M18" s="4">
        <v>42581</v>
      </c>
      <c r="N18" s="5">
        <v>16</v>
      </c>
      <c r="O18" s="5" t="str">
        <f>"001964"</f>
        <v>001964</v>
      </c>
      <c r="P18" s="4">
        <v>43246</v>
      </c>
      <c r="Q18" s="7">
        <v>14.45065</v>
      </c>
      <c r="R18" s="7">
        <v>1.9375</v>
      </c>
      <c r="S18" s="7">
        <v>12.51315</v>
      </c>
      <c r="T18" s="5">
        <v>67</v>
      </c>
      <c r="U18" s="4">
        <v>43251</v>
      </c>
      <c r="V18" s="5">
        <v>9448593413</v>
      </c>
      <c r="W18" s="6" t="s">
        <v>118</v>
      </c>
      <c r="X18" s="5" t="s">
        <v>30</v>
      </c>
      <c r="Y18" s="6" t="s">
        <v>31</v>
      </c>
      <c r="Z18" s="5" t="s">
        <v>76</v>
      </c>
      <c r="AA18" s="6" t="s">
        <v>77</v>
      </c>
      <c r="AB18" s="7">
        <v>0.14450649999999998</v>
      </c>
      <c r="AD18" s="8"/>
      <c r="AF18" s="8"/>
      <c r="AG18" s="8"/>
    </row>
    <row r="19" spans="1:33" x14ac:dyDescent="0.2">
      <c r="A19" s="12">
        <v>1639</v>
      </c>
      <c r="B19" s="13" t="s">
        <v>35</v>
      </c>
      <c r="C19" s="13">
        <v>43252</v>
      </c>
      <c r="D19" s="5">
        <v>84</v>
      </c>
      <c r="E19" s="6" t="s">
        <v>79</v>
      </c>
      <c r="F19" s="5" t="s">
        <v>121</v>
      </c>
      <c r="G19" s="6" t="s">
        <v>122</v>
      </c>
      <c r="H19" s="5" t="str">
        <f>"000214"</f>
        <v>000214</v>
      </c>
      <c r="I19" s="4">
        <v>42782</v>
      </c>
      <c r="J19" s="5" t="str">
        <f>"000674"</f>
        <v>000674</v>
      </c>
      <c r="K19" s="4">
        <v>42816</v>
      </c>
      <c r="L19" s="5" t="str">
        <f>"000674"</f>
        <v>000674</v>
      </c>
      <c r="M19" s="4">
        <v>42816</v>
      </c>
      <c r="N19" s="5">
        <v>17</v>
      </c>
      <c r="O19" s="5" t="str">
        <f>"001879"</f>
        <v>001879</v>
      </c>
      <c r="P19" s="4">
        <v>43245</v>
      </c>
      <c r="Q19" s="7">
        <v>19.981860000000001</v>
      </c>
      <c r="R19" s="7">
        <v>2.6988799999999999</v>
      </c>
      <c r="S19" s="7">
        <v>17.282979999999998</v>
      </c>
      <c r="T19" s="5">
        <v>65</v>
      </c>
      <c r="U19" s="4">
        <v>43252</v>
      </c>
      <c r="V19" s="5">
        <v>9480828222</v>
      </c>
      <c r="W19" s="6" t="s">
        <v>53</v>
      </c>
      <c r="X19" s="5" t="s">
        <v>55</v>
      </c>
      <c r="Y19" s="6" t="s">
        <v>54</v>
      </c>
      <c r="Z19" s="5" t="s">
        <v>76</v>
      </c>
      <c r="AA19" s="6" t="s">
        <v>77</v>
      </c>
      <c r="AB19" s="7">
        <v>0.19981860000000001</v>
      </c>
      <c r="AD19" s="8"/>
      <c r="AF19" s="8"/>
      <c r="AG19" s="8"/>
    </row>
    <row r="20" spans="1:33" x14ac:dyDescent="0.2">
      <c r="A20" s="12">
        <v>1640</v>
      </c>
      <c r="B20" s="13" t="s">
        <v>35</v>
      </c>
      <c r="C20" s="13">
        <v>43252</v>
      </c>
      <c r="D20" s="5">
        <v>84</v>
      </c>
      <c r="E20" s="6" t="s">
        <v>79</v>
      </c>
      <c r="F20" s="5" t="s">
        <v>123</v>
      </c>
      <c r="G20" s="6" t="s">
        <v>124</v>
      </c>
      <c r="H20" s="5" t="str">
        <f>"000215"</f>
        <v>000215</v>
      </c>
      <c r="I20" s="4">
        <v>42782</v>
      </c>
      <c r="J20" s="5" t="str">
        <f>"000276"</f>
        <v>000276</v>
      </c>
      <c r="K20" s="4">
        <v>42816</v>
      </c>
      <c r="L20" s="5" t="str">
        <f>"000675"</f>
        <v>000675</v>
      </c>
      <c r="M20" s="4">
        <v>42816</v>
      </c>
      <c r="N20" s="5">
        <v>17</v>
      </c>
      <c r="O20" s="5" t="str">
        <f>"001880"</f>
        <v>001880</v>
      </c>
      <c r="P20" s="4">
        <v>43245</v>
      </c>
      <c r="Q20" s="7">
        <v>19.9785</v>
      </c>
      <c r="R20" s="7">
        <v>2.6926800000000002</v>
      </c>
      <c r="S20" s="7">
        <v>17.285820000000001</v>
      </c>
      <c r="T20" s="5">
        <v>65</v>
      </c>
      <c r="U20" s="4">
        <v>43252</v>
      </c>
      <c r="V20" s="5">
        <v>9480828222</v>
      </c>
      <c r="W20" s="6" t="s">
        <v>53</v>
      </c>
      <c r="X20" s="5" t="s">
        <v>55</v>
      </c>
      <c r="Y20" s="6" t="s">
        <v>54</v>
      </c>
      <c r="Z20" s="5" t="s">
        <v>76</v>
      </c>
      <c r="AA20" s="6" t="s">
        <v>77</v>
      </c>
      <c r="AB20" s="7">
        <v>0.19978499999999999</v>
      </c>
      <c r="AD20" s="8"/>
      <c r="AF20" s="8"/>
      <c r="AG20" s="8"/>
    </row>
    <row r="21" spans="1:33" x14ac:dyDescent="0.2">
      <c r="A21" s="12">
        <v>1814</v>
      </c>
      <c r="B21" s="13" t="s">
        <v>35</v>
      </c>
      <c r="C21" s="13">
        <v>43257</v>
      </c>
      <c r="D21" s="5">
        <v>84</v>
      </c>
      <c r="E21" s="6" t="s">
        <v>79</v>
      </c>
      <c r="F21" s="5" t="s">
        <v>125</v>
      </c>
      <c r="G21" s="6" t="s">
        <v>126</v>
      </c>
      <c r="H21" s="5" t="str">
        <f>"000103"</f>
        <v>000103</v>
      </c>
      <c r="I21" s="4">
        <v>42411</v>
      </c>
      <c r="J21" s="5" t="str">
        <f>"000153"</f>
        <v>000153</v>
      </c>
      <c r="K21" s="4">
        <v>42613</v>
      </c>
      <c r="L21" s="5" t="str">
        <f>"000354"</f>
        <v>000354</v>
      </c>
      <c r="M21" s="4">
        <v>42625</v>
      </c>
      <c r="N21" s="5">
        <v>16</v>
      </c>
      <c r="O21" s="5" t="str">
        <f>"002120"</f>
        <v>002120</v>
      </c>
      <c r="P21" s="4">
        <v>43253</v>
      </c>
      <c r="Q21" s="7">
        <v>14.694179999999999</v>
      </c>
      <c r="R21" s="7">
        <v>1.92849</v>
      </c>
      <c r="S21" s="7">
        <v>12.765689999999999</v>
      </c>
      <c r="T21" s="5">
        <v>71</v>
      </c>
      <c r="U21" s="4">
        <v>43257</v>
      </c>
      <c r="V21" s="5">
        <v>8951120986</v>
      </c>
      <c r="W21" s="6" t="s">
        <v>127</v>
      </c>
      <c r="X21" s="5" t="s">
        <v>30</v>
      </c>
      <c r="Y21" s="6" t="s">
        <v>31</v>
      </c>
      <c r="Z21" s="5" t="s">
        <v>76</v>
      </c>
      <c r="AA21" s="6" t="s">
        <v>77</v>
      </c>
      <c r="AB21" s="7">
        <v>0.14694179999999998</v>
      </c>
      <c r="AD21" s="8"/>
      <c r="AF21" s="8"/>
      <c r="AG21" s="8"/>
    </row>
    <row r="22" spans="1:33" x14ac:dyDescent="0.2">
      <c r="A22" s="12">
        <v>1815</v>
      </c>
      <c r="B22" s="13" t="s">
        <v>35</v>
      </c>
      <c r="C22" s="13">
        <v>43257</v>
      </c>
      <c r="D22" s="5">
        <v>84</v>
      </c>
      <c r="E22" s="6" t="s">
        <v>79</v>
      </c>
      <c r="F22" s="5" t="s">
        <v>128</v>
      </c>
      <c r="G22" s="6" t="s">
        <v>129</v>
      </c>
      <c r="H22" s="5" t="str">
        <f>"000165"</f>
        <v>000165</v>
      </c>
      <c r="I22" s="4">
        <v>42457</v>
      </c>
      <c r="J22" s="5" t="str">
        <f>"000146"</f>
        <v>000146</v>
      </c>
      <c r="K22" s="4">
        <v>42612</v>
      </c>
      <c r="L22" s="5" t="str">
        <f>"000352"</f>
        <v>000352</v>
      </c>
      <c r="M22" s="4">
        <v>42621</v>
      </c>
      <c r="N22" s="5">
        <v>16</v>
      </c>
      <c r="O22" s="5" t="str">
        <f>"002121"</f>
        <v>002121</v>
      </c>
      <c r="P22" s="4">
        <v>43253</v>
      </c>
      <c r="Q22" s="7">
        <v>26.129560000000001</v>
      </c>
      <c r="R22" s="7">
        <v>3.3475100000000002</v>
      </c>
      <c r="S22" s="7">
        <v>22.782050000000002</v>
      </c>
      <c r="T22" s="5">
        <v>71</v>
      </c>
      <c r="U22" s="4">
        <v>43257</v>
      </c>
      <c r="V22" s="5">
        <v>9740395643</v>
      </c>
      <c r="W22" s="6" t="s">
        <v>118</v>
      </c>
      <c r="X22" s="5" t="s">
        <v>44</v>
      </c>
      <c r="Y22" s="6" t="s">
        <v>43</v>
      </c>
      <c r="Z22" s="5" t="s">
        <v>76</v>
      </c>
      <c r="AA22" s="6" t="s">
        <v>77</v>
      </c>
      <c r="AB22" s="7">
        <v>0.26129560000000002</v>
      </c>
      <c r="AD22" s="8"/>
      <c r="AF22" s="8"/>
      <c r="AG22" s="8"/>
    </row>
    <row r="23" spans="1:33" x14ac:dyDescent="0.2">
      <c r="A23" s="12">
        <v>2145</v>
      </c>
      <c r="B23" s="13" t="s">
        <v>35</v>
      </c>
      <c r="C23" s="13">
        <v>43265</v>
      </c>
      <c r="D23" s="5">
        <v>84</v>
      </c>
      <c r="E23" s="6" t="s">
        <v>79</v>
      </c>
      <c r="F23" s="5" t="s">
        <v>130</v>
      </c>
      <c r="G23" s="6" t="s">
        <v>131</v>
      </c>
      <c r="H23" s="5" t="str">
        <f>"000002"</f>
        <v>000002</v>
      </c>
      <c r="I23" s="4">
        <v>43193</v>
      </c>
      <c r="J23" s="5" t="str">
        <f>"000002"</f>
        <v>000002</v>
      </c>
      <c r="K23" s="4">
        <v>43193</v>
      </c>
      <c r="L23" s="5" t="str">
        <f>"000002"</f>
        <v>000002</v>
      </c>
      <c r="M23" s="4">
        <v>43193</v>
      </c>
      <c r="N23" s="5">
        <v>17</v>
      </c>
      <c r="O23" s="5" t="str">
        <f>"002434"</f>
        <v>002434</v>
      </c>
      <c r="P23" s="4">
        <v>43263</v>
      </c>
      <c r="Q23" s="7">
        <v>13.52853</v>
      </c>
      <c r="R23" s="7">
        <v>1.3834599999999999</v>
      </c>
      <c r="S23" s="7">
        <v>12.14507</v>
      </c>
      <c r="T23" s="5">
        <v>84</v>
      </c>
      <c r="U23" s="4">
        <v>43265</v>
      </c>
      <c r="V23" s="5">
        <v>8050006665</v>
      </c>
      <c r="W23" s="6" t="s">
        <v>132</v>
      </c>
      <c r="X23" s="5" t="s">
        <v>38</v>
      </c>
      <c r="Y23" s="6" t="s">
        <v>39</v>
      </c>
      <c r="Z23" s="5" t="s">
        <v>70</v>
      </c>
      <c r="AA23" s="6" t="s">
        <v>71</v>
      </c>
      <c r="AB23" s="7">
        <v>0.1352853</v>
      </c>
      <c r="AD23" s="8"/>
      <c r="AF23" s="8"/>
      <c r="AG23" s="8"/>
    </row>
    <row r="24" spans="1:33" x14ac:dyDescent="0.2">
      <c r="A24" s="12">
        <v>2861</v>
      </c>
      <c r="B24" s="13" t="s">
        <v>32</v>
      </c>
      <c r="C24" s="13">
        <v>43283</v>
      </c>
      <c r="D24" s="5">
        <v>84</v>
      </c>
      <c r="E24" s="6" t="s">
        <v>79</v>
      </c>
      <c r="F24" s="5" t="s">
        <v>133</v>
      </c>
      <c r="G24" s="6" t="s">
        <v>134</v>
      </c>
      <c r="H24" s="5" t="str">
        <f>"000063"</f>
        <v>000063</v>
      </c>
      <c r="I24" s="4">
        <v>42406</v>
      </c>
      <c r="J24" s="5" t="str">
        <f>"000209"</f>
        <v>000209</v>
      </c>
      <c r="K24" s="4">
        <v>42734</v>
      </c>
      <c r="L24" s="5" t="str">
        <f>"000500"</f>
        <v>000500</v>
      </c>
      <c r="M24" s="4">
        <v>42734</v>
      </c>
      <c r="N24" s="5">
        <v>16</v>
      </c>
      <c r="O24" s="5" t="str">
        <f>"002974"</f>
        <v>002974</v>
      </c>
      <c r="P24" s="4">
        <v>43276</v>
      </c>
      <c r="Q24" s="7">
        <v>9.984</v>
      </c>
      <c r="R24" s="7">
        <v>1.12836</v>
      </c>
      <c r="S24" s="7">
        <v>8.8556399999999993</v>
      </c>
      <c r="T24" s="5">
        <v>108</v>
      </c>
      <c r="U24" s="4">
        <v>43283</v>
      </c>
      <c r="V24" s="5">
        <v>9448593413</v>
      </c>
      <c r="W24" s="6" t="s">
        <v>135</v>
      </c>
      <c r="X24" s="5" t="s">
        <v>30</v>
      </c>
      <c r="Y24" s="6" t="s">
        <v>31</v>
      </c>
      <c r="Z24" s="5" t="s">
        <v>76</v>
      </c>
      <c r="AA24" s="6" t="s">
        <v>77</v>
      </c>
      <c r="AB24" s="7">
        <v>9.9839999999999998E-2</v>
      </c>
      <c r="AD24" s="8"/>
      <c r="AF24" s="8"/>
      <c r="AG24" s="8"/>
    </row>
    <row r="25" spans="1:33" x14ac:dyDescent="0.2">
      <c r="A25" s="12">
        <v>2862</v>
      </c>
      <c r="B25" s="13" t="s">
        <v>32</v>
      </c>
      <c r="C25" s="13">
        <v>43283</v>
      </c>
      <c r="D25" s="5">
        <v>84</v>
      </c>
      <c r="E25" s="6" t="s">
        <v>79</v>
      </c>
      <c r="F25" s="5" t="s">
        <v>136</v>
      </c>
      <c r="G25" s="6" t="s">
        <v>137</v>
      </c>
      <c r="H25" s="5" t="str">
        <f>"000037"</f>
        <v>000037</v>
      </c>
      <c r="I25" s="4">
        <v>42784</v>
      </c>
      <c r="J25" s="5" t="str">
        <f>"000144"</f>
        <v>000144</v>
      </c>
      <c r="K25" s="4">
        <v>42816</v>
      </c>
      <c r="L25" s="5" t="str">
        <f>"000120"</f>
        <v>000120</v>
      </c>
      <c r="M25" s="4">
        <v>42817</v>
      </c>
      <c r="N25" s="5">
        <v>17</v>
      </c>
      <c r="O25" s="5" t="str">
        <f>"002976"</f>
        <v>002976</v>
      </c>
      <c r="P25" s="4">
        <v>43276</v>
      </c>
      <c r="Q25" s="7">
        <v>19.998550000000002</v>
      </c>
      <c r="R25" s="7">
        <v>2.4258299999999999</v>
      </c>
      <c r="S25" s="7">
        <v>17.57272</v>
      </c>
      <c r="T25" s="5">
        <v>108</v>
      </c>
      <c r="U25" s="4">
        <v>43283</v>
      </c>
      <c r="V25" s="5">
        <v>9480828222</v>
      </c>
      <c r="W25" s="6" t="s">
        <v>53</v>
      </c>
      <c r="X25" s="5" t="s">
        <v>55</v>
      </c>
      <c r="Y25" s="6" t="s">
        <v>54</v>
      </c>
      <c r="Z25" s="5" t="s">
        <v>70</v>
      </c>
      <c r="AA25" s="6" t="s">
        <v>71</v>
      </c>
      <c r="AB25" s="7">
        <v>0.19998550000000001</v>
      </c>
      <c r="AD25" s="8"/>
      <c r="AF25" s="8"/>
      <c r="AG25" s="8"/>
    </row>
    <row r="26" spans="1:33" x14ac:dyDescent="0.2">
      <c r="A26" s="12">
        <v>3175</v>
      </c>
      <c r="B26" s="13" t="s">
        <v>32</v>
      </c>
      <c r="C26" s="13">
        <v>43290</v>
      </c>
      <c r="D26" s="5">
        <v>84</v>
      </c>
      <c r="E26" s="6" t="s">
        <v>79</v>
      </c>
      <c r="F26" s="5" t="s">
        <v>138</v>
      </c>
      <c r="G26" s="6" t="s">
        <v>139</v>
      </c>
      <c r="H26" s="5" t="str">
        <f>"000074"</f>
        <v>000074</v>
      </c>
      <c r="I26" s="4">
        <v>41347</v>
      </c>
      <c r="J26" s="5" t="str">
        <f>"000115"</f>
        <v>000115</v>
      </c>
      <c r="K26" s="4">
        <v>42581</v>
      </c>
      <c r="L26" s="5" t="str">
        <f>"000336"</f>
        <v>000336</v>
      </c>
      <c r="M26" s="4">
        <v>42612</v>
      </c>
      <c r="N26" s="5">
        <v>13</v>
      </c>
      <c r="O26" s="5" t="str">
        <f>"003431"</f>
        <v>003431</v>
      </c>
      <c r="P26" s="4">
        <v>43288</v>
      </c>
      <c r="Q26" s="7">
        <v>8.9627800000000004</v>
      </c>
      <c r="R26" s="7">
        <v>1.2524900000000001</v>
      </c>
      <c r="S26" s="7">
        <v>7.7102899999999996</v>
      </c>
      <c r="T26" s="5">
        <v>117</v>
      </c>
      <c r="U26" s="4">
        <v>43290</v>
      </c>
      <c r="V26" s="5">
        <v>9480828222</v>
      </c>
      <c r="W26" s="6" t="s">
        <v>53</v>
      </c>
      <c r="X26" s="5" t="s">
        <v>68</v>
      </c>
      <c r="Y26" s="6" t="s">
        <v>69</v>
      </c>
      <c r="Z26" s="5" t="s">
        <v>76</v>
      </c>
      <c r="AA26" s="6" t="s">
        <v>77</v>
      </c>
      <c r="AB26" s="7">
        <v>8.9627800000000007E-2</v>
      </c>
      <c r="AD26" s="8"/>
      <c r="AF26" s="8"/>
      <c r="AG26" s="8"/>
    </row>
    <row r="27" spans="1:33" x14ac:dyDescent="0.2">
      <c r="A27" s="12">
        <v>3522</v>
      </c>
      <c r="B27" s="13" t="s">
        <v>32</v>
      </c>
      <c r="C27" s="13">
        <v>43299</v>
      </c>
      <c r="D27" s="5">
        <v>84</v>
      </c>
      <c r="E27" s="6" t="s">
        <v>79</v>
      </c>
      <c r="F27" s="5" t="s">
        <v>140</v>
      </c>
      <c r="G27" s="6" t="s">
        <v>141</v>
      </c>
      <c r="H27" s="5" t="str">
        <f>"000179"</f>
        <v>000179</v>
      </c>
      <c r="I27" s="4">
        <v>42710</v>
      </c>
      <c r="J27" s="5" t="str">
        <f>"000211"</f>
        <v>000211</v>
      </c>
      <c r="K27" s="4">
        <v>42745</v>
      </c>
      <c r="L27" s="5" t="str">
        <f>"000517"</f>
        <v>000517</v>
      </c>
      <c r="M27" s="4">
        <v>42745</v>
      </c>
      <c r="N27" s="5">
        <v>17</v>
      </c>
      <c r="O27" s="5" t="str">
        <f>"003833"</f>
        <v>003833</v>
      </c>
      <c r="P27" s="4">
        <v>43297</v>
      </c>
      <c r="Q27" s="7">
        <v>45.414830000000002</v>
      </c>
      <c r="R27" s="7">
        <v>6.1869500000000004</v>
      </c>
      <c r="S27" s="7">
        <v>39.227879999999999</v>
      </c>
      <c r="T27" s="5">
        <v>128</v>
      </c>
      <c r="U27" s="4">
        <v>43299</v>
      </c>
      <c r="V27" s="5">
        <v>9480828222</v>
      </c>
      <c r="W27" s="6" t="s">
        <v>53</v>
      </c>
      <c r="X27" s="5" t="s">
        <v>51</v>
      </c>
      <c r="Y27" s="6" t="s">
        <v>50</v>
      </c>
      <c r="Z27" s="5" t="s">
        <v>76</v>
      </c>
      <c r="AA27" s="6" t="s">
        <v>77</v>
      </c>
      <c r="AB27" s="7">
        <v>0.4541483</v>
      </c>
      <c r="AD27" s="8"/>
      <c r="AF27" s="8"/>
      <c r="AG27" s="8"/>
    </row>
    <row r="28" spans="1:33" x14ac:dyDescent="0.2">
      <c r="A28" s="12">
        <v>3523</v>
      </c>
      <c r="B28" s="13" t="s">
        <v>32</v>
      </c>
      <c r="C28" s="13">
        <v>43299</v>
      </c>
      <c r="D28" s="5">
        <v>84</v>
      </c>
      <c r="E28" s="6" t="s">
        <v>79</v>
      </c>
      <c r="F28" s="5" t="s">
        <v>142</v>
      </c>
      <c r="G28" s="6" t="s">
        <v>143</v>
      </c>
      <c r="H28" s="5" t="str">
        <f>"000172"</f>
        <v>000172</v>
      </c>
      <c r="I28" s="4">
        <v>42710</v>
      </c>
      <c r="J28" s="5" t="str">
        <f>"000212"</f>
        <v>000212</v>
      </c>
      <c r="K28" s="4">
        <v>42745</v>
      </c>
      <c r="L28" s="5" t="str">
        <f>"000518"</f>
        <v>000518</v>
      </c>
      <c r="M28" s="4">
        <v>42745</v>
      </c>
      <c r="N28" s="5">
        <v>17</v>
      </c>
      <c r="O28" s="5" t="str">
        <f>"003834"</f>
        <v>003834</v>
      </c>
      <c r="P28" s="4">
        <v>43297</v>
      </c>
      <c r="Q28" s="7">
        <v>29.992439999999998</v>
      </c>
      <c r="R28" s="7">
        <v>4.1875499999999999</v>
      </c>
      <c r="S28" s="7">
        <v>25.80489</v>
      </c>
      <c r="T28" s="5">
        <v>128</v>
      </c>
      <c r="U28" s="4">
        <v>43299</v>
      </c>
      <c r="V28" s="5">
        <v>9480828222</v>
      </c>
      <c r="W28" s="6" t="s">
        <v>53</v>
      </c>
      <c r="X28" s="5" t="s">
        <v>51</v>
      </c>
      <c r="Y28" s="6" t="s">
        <v>50</v>
      </c>
      <c r="Z28" s="5" t="s">
        <v>76</v>
      </c>
      <c r="AA28" s="6" t="s">
        <v>77</v>
      </c>
      <c r="AB28" s="7">
        <v>0.29992439999999998</v>
      </c>
      <c r="AD28" s="8"/>
      <c r="AF28" s="8"/>
      <c r="AG28" s="8"/>
    </row>
    <row r="29" spans="1:33" x14ac:dyDescent="0.2">
      <c r="A29" s="12">
        <v>3524</v>
      </c>
      <c r="B29" s="13" t="s">
        <v>32</v>
      </c>
      <c r="C29" s="13">
        <v>43299</v>
      </c>
      <c r="D29" s="5">
        <v>84</v>
      </c>
      <c r="E29" s="6" t="s">
        <v>79</v>
      </c>
      <c r="F29" s="5" t="s">
        <v>144</v>
      </c>
      <c r="G29" s="6" t="s">
        <v>145</v>
      </c>
      <c r="H29" s="5" t="str">
        <f>"000170"</f>
        <v>000170</v>
      </c>
      <c r="I29" s="4">
        <v>42710</v>
      </c>
      <c r="J29" s="5" t="str">
        <f>"000213"</f>
        <v>000213</v>
      </c>
      <c r="K29" s="4">
        <v>42745</v>
      </c>
      <c r="L29" s="5" t="str">
        <f>"000519"</f>
        <v>000519</v>
      </c>
      <c r="M29" s="4">
        <v>42745</v>
      </c>
      <c r="N29" s="5">
        <v>17</v>
      </c>
      <c r="O29" s="5" t="str">
        <f>"003836"</f>
        <v>003836</v>
      </c>
      <c r="P29" s="4">
        <v>43297</v>
      </c>
      <c r="Q29" s="7">
        <v>29.205439999999999</v>
      </c>
      <c r="R29" s="7">
        <v>4.0968</v>
      </c>
      <c r="S29" s="7">
        <v>25.108640000000001</v>
      </c>
      <c r="T29" s="5">
        <v>128</v>
      </c>
      <c r="U29" s="4">
        <v>43299</v>
      </c>
      <c r="V29" s="5">
        <v>9480828222</v>
      </c>
      <c r="W29" s="6" t="s">
        <v>53</v>
      </c>
      <c r="X29" s="5" t="s">
        <v>51</v>
      </c>
      <c r="Y29" s="6" t="s">
        <v>50</v>
      </c>
      <c r="Z29" s="5" t="s">
        <v>76</v>
      </c>
      <c r="AA29" s="6" t="s">
        <v>77</v>
      </c>
      <c r="AB29" s="7">
        <v>0.29205439999999999</v>
      </c>
      <c r="AD29" s="8"/>
      <c r="AF29" s="8"/>
      <c r="AG29" s="8"/>
    </row>
    <row r="30" spans="1:33" x14ac:dyDescent="0.2">
      <c r="A30" s="12">
        <v>3525</v>
      </c>
      <c r="B30" s="13" t="s">
        <v>32</v>
      </c>
      <c r="C30" s="13">
        <v>43299</v>
      </c>
      <c r="D30" s="5">
        <v>84</v>
      </c>
      <c r="E30" s="6" t="s">
        <v>79</v>
      </c>
      <c r="F30" s="5" t="s">
        <v>146</v>
      </c>
      <c r="G30" s="6" t="s">
        <v>147</v>
      </c>
      <c r="H30" s="5" t="str">
        <f>"000176"</f>
        <v>000176</v>
      </c>
      <c r="I30" s="4">
        <v>42710</v>
      </c>
      <c r="J30" s="5" t="str">
        <f>"000214"</f>
        <v>000214</v>
      </c>
      <c r="K30" s="4">
        <v>42745</v>
      </c>
      <c r="L30" s="5" t="str">
        <f>"000520"</f>
        <v>000520</v>
      </c>
      <c r="M30" s="4">
        <v>42745</v>
      </c>
      <c r="N30" s="5">
        <v>17</v>
      </c>
      <c r="O30" s="5" t="str">
        <f>"003837"</f>
        <v>003837</v>
      </c>
      <c r="P30" s="4">
        <v>43297</v>
      </c>
      <c r="Q30" s="7">
        <v>39.978619999999999</v>
      </c>
      <c r="R30" s="7">
        <v>5.4527000000000001</v>
      </c>
      <c r="S30" s="7">
        <v>34.525919999999999</v>
      </c>
      <c r="T30" s="5">
        <v>128</v>
      </c>
      <c r="U30" s="4">
        <v>43299</v>
      </c>
      <c r="V30" s="5">
        <v>9480828222</v>
      </c>
      <c r="W30" s="6" t="s">
        <v>53</v>
      </c>
      <c r="X30" s="5" t="s">
        <v>51</v>
      </c>
      <c r="Y30" s="6" t="s">
        <v>50</v>
      </c>
      <c r="Z30" s="5" t="s">
        <v>76</v>
      </c>
      <c r="AA30" s="6" t="s">
        <v>77</v>
      </c>
      <c r="AB30" s="7">
        <v>0.39978619999999998</v>
      </c>
      <c r="AD30" s="8"/>
      <c r="AF30" s="8"/>
      <c r="AG30" s="8"/>
    </row>
    <row r="31" spans="1:33" x14ac:dyDescent="0.2">
      <c r="A31" s="12">
        <v>3742</v>
      </c>
      <c r="B31" s="13" t="s">
        <v>32</v>
      </c>
      <c r="C31" s="13">
        <v>43301</v>
      </c>
      <c r="D31" s="5">
        <v>84</v>
      </c>
      <c r="E31" s="6" t="s">
        <v>79</v>
      </c>
      <c r="F31" s="5" t="s">
        <v>148</v>
      </c>
      <c r="G31" s="6" t="s">
        <v>149</v>
      </c>
      <c r="H31" s="5" t="str">
        <f>"000012"</f>
        <v>000012</v>
      </c>
      <c r="I31" s="4">
        <v>42625</v>
      </c>
      <c r="J31" s="5" t="str">
        <f>"000006"</f>
        <v>000006</v>
      </c>
      <c r="K31" s="4">
        <v>43199</v>
      </c>
      <c r="L31" s="5" t="str">
        <f>"000006"</f>
        <v>000006</v>
      </c>
      <c r="M31" s="4">
        <v>43199</v>
      </c>
      <c r="N31" s="5">
        <v>16</v>
      </c>
      <c r="O31" s="5" t="str">
        <f>"004434"</f>
        <v>004434</v>
      </c>
      <c r="P31" s="4">
        <v>43307</v>
      </c>
      <c r="Q31" s="7">
        <v>13.765700000000001</v>
      </c>
      <c r="R31" s="7">
        <v>1.39449</v>
      </c>
      <c r="S31" s="7">
        <v>12.37121</v>
      </c>
      <c r="T31" s="5">
        <v>134</v>
      </c>
      <c r="U31" s="4">
        <v>43301</v>
      </c>
      <c r="V31" s="5">
        <v>9845359953</v>
      </c>
      <c r="W31" s="6" t="s">
        <v>150</v>
      </c>
      <c r="X31" s="5" t="s">
        <v>33</v>
      </c>
      <c r="Y31" s="6" t="s">
        <v>34</v>
      </c>
      <c r="Z31" s="5" t="s">
        <v>70</v>
      </c>
      <c r="AA31" s="6" t="s">
        <v>71</v>
      </c>
      <c r="AB31" s="7">
        <v>0.137657</v>
      </c>
      <c r="AD31" s="8"/>
      <c r="AF31" s="8"/>
      <c r="AG31" s="8"/>
    </row>
    <row r="32" spans="1:33" x14ac:dyDescent="0.2">
      <c r="A32" s="12">
        <v>3743</v>
      </c>
      <c r="B32" s="13" t="s">
        <v>32</v>
      </c>
      <c r="C32" s="13">
        <v>43301</v>
      </c>
      <c r="D32" s="5">
        <v>84</v>
      </c>
      <c r="E32" s="6" t="s">
        <v>79</v>
      </c>
      <c r="F32" s="5" t="s">
        <v>148</v>
      </c>
      <c r="G32" s="6" t="s">
        <v>149</v>
      </c>
      <c r="H32" s="5" t="str">
        <f>"000012"</f>
        <v>000012</v>
      </c>
      <c r="I32" s="4">
        <v>42625</v>
      </c>
      <c r="J32" s="5" t="str">
        <f>"000006"</f>
        <v>000006</v>
      </c>
      <c r="K32" s="4">
        <v>43199</v>
      </c>
      <c r="L32" s="5" t="str">
        <f>"000006"</f>
        <v>000006</v>
      </c>
      <c r="M32" s="4">
        <v>43199</v>
      </c>
      <c r="N32" s="5">
        <v>16</v>
      </c>
      <c r="O32" s="5" t="str">
        <f>"004434"</f>
        <v>004434</v>
      </c>
      <c r="P32" s="4">
        <v>43307</v>
      </c>
      <c r="Q32" s="7">
        <v>5.5643900000000004</v>
      </c>
      <c r="R32" s="7">
        <v>0.70494999999999997</v>
      </c>
      <c r="S32" s="7">
        <v>4.8594400000000002</v>
      </c>
      <c r="T32" s="5">
        <v>134</v>
      </c>
      <c r="U32" s="4">
        <v>43301</v>
      </c>
      <c r="V32" s="5">
        <v>9845359953</v>
      </c>
      <c r="W32" s="6" t="s">
        <v>150</v>
      </c>
      <c r="X32" s="5" t="s">
        <v>33</v>
      </c>
      <c r="Y32" s="6" t="s">
        <v>34</v>
      </c>
      <c r="Z32" s="5" t="s">
        <v>70</v>
      </c>
      <c r="AA32" s="6" t="s">
        <v>71</v>
      </c>
      <c r="AB32" s="7">
        <v>5.5643900000000003E-2</v>
      </c>
      <c r="AD32" s="8"/>
      <c r="AF32" s="8"/>
      <c r="AG32" s="8"/>
    </row>
    <row r="33" spans="1:33" x14ac:dyDescent="0.2">
      <c r="A33" s="12">
        <v>4109</v>
      </c>
      <c r="B33" s="13" t="s">
        <v>32</v>
      </c>
      <c r="C33" s="13">
        <v>43308</v>
      </c>
      <c r="D33" s="5">
        <v>84</v>
      </c>
      <c r="E33" s="6" t="s">
        <v>79</v>
      </c>
      <c r="F33" s="5" t="s">
        <v>148</v>
      </c>
      <c r="G33" s="6" t="s">
        <v>149</v>
      </c>
      <c r="H33" s="5" t="str">
        <f>"000012"</f>
        <v>000012</v>
      </c>
      <c r="I33" s="4">
        <v>42625</v>
      </c>
      <c r="J33" s="5" t="str">
        <f>"000006"</f>
        <v>000006</v>
      </c>
      <c r="K33" s="4">
        <v>43199</v>
      </c>
      <c r="L33" s="5" t="str">
        <f>"000006"</f>
        <v>000006</v>
      </c>
      <c r="M33" s="4">
        <v>43199</v>
      </c>
      <c r="N33" s="5">
        <v>16</v>
      </c>
      <c r="O33" s="5" t="str">
        <f>"004434"</f>
        <v>004434</v>
      </c>
      <c r="P33" s="4">
        <v>43307</v>
      </c>
      <c r="Q33" s="7">
        <v>16.891210000000001</v>
      </c>
      <c r="R33" s="7">
        <v>2.0636100000000002</v>
      </c>
      <c r="S33" s="7">
        <v>14.8276</v>
      </c>
      <c r="T33" s="5">
        <v>146</v>
      </c>
      <c r="U33" s="4">
        <v>43308</v>
      </c>
      <c r="V33" s="5">
        <v>9845359953</v>
      </c>
      <c r="W33" s="6" t="s">
        <v>151</v>
      </c>
      <c r="X33" s="5" t="s">
        <v>33</v>
      </c>
      <c r="Y33" s="6" t="s">
        <v>34</v>
      </c>
      <c r="Z33" s="5" t="s">
        <v>70</v>
      </c>
      <c r="AA33" s="6" t="s">
        <v>71</v>
      </c>
      <c r="AB33" s="7">
        <v>0.16891210000000001</v>
      </c>
      <c r="AD33" s="8"/>
      <c r="AF33" s="8"/>
      <c r="AG33" s="8"/>
    </row>
    <row r="34" spans="1:33" x14ac:dyDescent="0.2">
      <c r="A34" s="12">
        <v>5254</v>
      </c>
      <c r="B34" s="13" t="s">
        <v>37</v>
      </c>
      <c r="C34" s="13">
        <v>43346</v>
      </c>
      <c r="D34" s="5">
        <v>84</v>
      </c>
      <c r="E34" s="6" t="s">
        <v>79</v>
      </c>
      <c r="F34" s="5" t="s">
        <v>152</v>
      </c>
      <c r="G34" s="6" t="s">
        <v>153</v>
      </c>
      <c r="H34" s="5" t="str">
        <f>"000093"</f>
        <v>000093</v>
      </c>
      <c r="I34" s="4">
        <v>42411</v>
      </c>
      <c r="J34" s="5" t="str">
        <f>"000042"</f>
        <v>000042</v>
      </c>
      <c r="K34" s="4">
        <v>43035</v>
      </c>
      <c r="L34" s="5" t="str">
        <f>"000104"</f>
        <v>000104</v>
      </c>
      <c r="M34" s="4">
        <v>43035</v>
      </c>
      <c r="N34" s="5">
        <v>16</v>
      </c>
      <c r="O34" s="5" t="str">
        <f>"005549"</f>
        <v>005549</v>
      </c>
      <c r="P34" s="4">
        <v>43341</v>
      </c>
      <c r="Q34" s="7">
        <v>5.96617</v>
      </c>
      <c r="R34" s="7">
        <v>0.67415000000000003</v>
      </c>
      <c r="S34" s="7">
        <v>5.2920199999999999</v>
      </c>
      <c r="T34" s="5">
        <v>191</v>
      </c>
      <c r="U34" s="4">
        <v>43346</v>
      </c>
      <c r="V34" s="5">
        <v>8951120986</v>
      </c>
      <c r="W34" s="6" t="s">
        <v>154</v>
      </c>
      <c r="X34" s="5" t="s">
        <v>30</v>
      </c>
      <c r="Y34" s="6" t="s">
        <v>31</v>
      </c>
      <c r="Z34" s="5" t="s">
        <v>76</v>
      </c>
      <c r="AA34" s="6" t="s">
        <v>77</v>
      </c>
      <c r="AB34" s="7">
        <f>Q34/100</f>
        <v>5.9661699999999998E-2</v>
      </c>
      <c r="AD34" s="8"/>
      <c r="AF34" s="8"/>
      <c r="AG34" s="8"/>
    </row>
    <row r="35" spans="1:33" x14ac:dyDescent="0.2">
      <c r="A35" s="12">
        <v>5255</v>
      </c>
      <c r="B35" s="13" t="s">
        <v>37</v>
      </c>
      <c r="C35" s="13">
        <v>43346</v>
      </c>
      <c r="D35" s="5">
        <v>84</v>
      </c>
      <c r="E35" s="6" t="s">
        <v>79</v>
      </c>
      <c r="F35" s="5" t="s">
        <v>155</v>
      </c>
      <c r="G35" s="6" t="s">
        <v>156</v>
      </c>
      <c r="H35" s="5" t="str">
        <f>"000109"</f>
        <v>000109</v>
      </c>
      <c r="I35" s="4">
        <v>42867</v>
      </c>
      <c r="J35" s="5" t="str">
        <f>"000044"</f>
        <v>000044</v>
      </c>
      <c r="K35" s="4">
        <v>43038</v>
      </c>
      <c r="L35" s="5" t="str">
        <f>"000113"</f>
        <v>000113</v>
      </c>
      <c r="M35" s="4">
        <v>43038</v>
      </c>
      <c r="N35" s="5">
        <v>17</v>
      </c>
      <c r="O35" s="5" t="str">
        <f>"005551"</f>
        <v>005551</v>
      </c>
      <c r="P35" s="4">
        <v>43341</v>
      </c>
      <c r="Q35" s="7">
        <v>14.10829</v>
      </c>
      <c r="R35" s="7">
        <v>1.3120499999999999</v>
      </c>
      <c r="S35" s="7">
        <v>12.796239999999999</v>
      </c>
      <c r="T35" s="5">
        <v>191</v>
      </c>
      <c r="U35" s="4">
        <v>43346</v>
      </c>
      <c r="V35" s="5">
        <v>9448593413</v>
      </c>
      <c r="W35" s="6" t="s">
        <v>157</v>
      </c>
      <c r="X35" s="5" t="s">
        <v>30</v>
      </c>
      <c r="Y35" s="6" t="s">
        <v>31</v>
      </c>
      <c r="Z35" s="5" t="s">
        <v>76</v>
      </c>
      <c r="AA35" s="6" t="s">
        <v>77</v>
      </c>
      <c r="AB35" s="7">
        <f>Q35/100</f>
        <v>0.14108290000000001</v>
      </c>
      <c r="AD35" s="8"/>
      <c r="AF35" s="8"/>
      <c r="AG35" s="8"/>
    </row>
    <row r="36" spans="1:33" x14ac:dyDescent="0.2">
      <c r="A36" s="12">
        <v>5539</v>
      </c>
      <c r="B36" s="13" t="s">
        <v>37</v>
      </c>
      <c r="C36" s="13">
        <v>43362</v>
      </c>
      <c r="D36" s="5">
        <v>84</v>
      </c>
      <c r="E36" s="6" t="s">
        <v>79</v>
      </c>
      <c r="F36" s="5" t="s">
        <v>158</v>
      </c>
      <c r="G36" s="6" t="s">
        <v>159</v>
      </c>
      <c r="H36" s="5" t="str">
        <f>"000005"</f>
        <v>000005</v>
      </c>
      <c r="I36" s="4">
        <v>41859</v>
      </c>
      <c r="J36" s="5" t="str">
        <f>"000292"</f>
        <v>000292</v>
      </c>
      <c r="K36" s="4">
        <v>42816</v>
      </c>
      <c r="L36" s="5" t="str">
        <f>"000702"</f>
        <v>000702</v>
      </c>
      <c r="M36" s="4">
        <v>42825</v>
      </c>
      <c r="N36" s="5">
        <v>13</v>
      </c>
      <c r="O36" s="5" t="str">
        <f>"005659"</f>
        <v>005659</v>
      </c>
      <c r="P36" s="4">
        <v>43349</v>
      </c>
      <c r="Q36" s="7">
        <v>17.15015</v>
      </c>
      <c r="R36" s="7">
        <v>2.35195</v>
      </c>
      <c r="S36" s="7">
        <v>14.7982</v>
      </c>
      <c r="T36" s="5">
        <v>207</v>
      </c>
      <c r="U36" s="4">
        <v>43362</v>
      </c>
      <c r="V36" s="5">
        <v>9480828222</v>
      </c>
      <c r="W36" s="6" t="s">
        <v>53</v>
      </c>
      <c r="X36" s="5" t="s">
        <v>74</v>
      </c>
      <c r="Y36" s="6" t="s">
        <v>75</v>
      </c>
      <c r="Z36" s="5" t="s">
        <v>76</v>
      </c>
      <c r="AA36" s="6" t="s">
        <v>77</v>
      </c>
      <c r="AB36" s="7">
        <f>Q36/100</f>
        <v>0.1715015</v>
      </c>
      <c r="AD36" s="8"/>
      <c r="AF36" s="8"/>
      <c r="AG36" s="8"/>
    </row>
    <row r="37" spans="1:33" x14ac:dyDescent="0.2">
      <c r="A37" s="12">
        <v>5540</v>
      </c>
      <c r="B37" s="13" t="s">
        <v>37</v>
      </c>
      <c r="C37" s="13">
        <v>43362</v>
      </c>
      <c r="D37" s="5">
        <v>84</v>
      </c>
      <c r="E37" s="6" t="s">
        <v>79</v>
      </c>
      <c r="F37" s="5" t="s">
        <v>158</v>
      </c>
      <c r="G37" s="6" t="s">
        <v>159</v>
      </c>
      <c r="H37" s="5" t="str">
        <f>"000005"</f>
        <v>000005</v>
      </c>
      <c r="I37" s="4">
        <v>41859</v>
      </c>
      <c r="J37" s="5" t="str">
        <f>"000292"</f>
        <v>000292</v>
      </c>
      <c r="K37" s="4">
        <v>42816</v>
      </c>
      <c r="L37" s="5" t="str">
        <f>"000702"</f>
        <v>000702</v>
      </c>
      <c r="M37" s="4">
        <v>42825</v>
      </c>
      <c r="N37" s="5">
        <v>13</v>
      </c>
      <c r="O37" s="5" t="str">
        <f>"005659"</f>
        <v>005659</v>
      </c>
      <c r="P37" s="4">
        <v>43349</v>
      </c>
      <c r="Q37" s="7">
        <v>32.384</v>
      </c>
      <c r="R37" s="7">
        <v>4.5142199999999999</v>
      </c>
      <c r="S37" s="7">
        <v>27.869779999999999</v>
      </c>
      <c r="T37" s="5">
        <v>207</v>
      </c>
      <c r="U37" s="4">
        <v>43362</v>
      </c>
      <c r="V37" s="5">
        <v>9480828222</v>
      </c>
      <c r="W37" s="6" t="s">
        <v>53</v>
      </c>
      <c r="X37" s="5" t="s">
        <v>74</v>
      </c>
      <c r="Y37" s="6" t="s">
        <v>75</v>
      </c>
      <c r="Z37" s="5" t="s">
        <v>76</v>
      </c>
      <c r="AA37" s="6" t="s">
        <v>77</v>
      </c>
      <c r="AB37" s="7">
        <f>Q37/100</f>
        <v>0.32384000000000002</v>
      </c>
      <c r="AD37" s="8"/>
      <c r="AF37" s="8"/>
      <c r="AG37" s="8"/>
    </row>
    <row r="38" spans="1:33" x14ac:dyDescent="0.2">
      <c r="A38" s="12">
        <v>5671</v>
      </c>
      <c r="B38" s="13" t="s">
        <v>37</v>
      </c>
      <c r="C38" s="13">
        <v>43370</v>
      </c>
      <c r="D38" s="5">
        <v>84</v>
      </c>
      <c r="E38" s="6" t="s">
        <v>79</v>
      </c>
      <c r="F38" s="5" t="s">
        <v>160</v>
      </c>
      <c r="G38" s="6" t="s">
        <v>161</v>
      </c>
      <c r="H38" s="5" t="str">
        <f>"000088"</f>
        <v>000088</v>
      </c>
      <c r="I38" s="4">
        <v>42411</v>
      </c>
      <c r="J38" s="5" t="str">
        <f>"000041"</f>
        <v>000041</v>
      </c>
      <c r="K38" s="4">
        <v>43035</v>
      </c>
      <c r="L38" s="5" t="str">
        <f>"000105"</f>
        <v>000105</v>
      </c>
      <c r="M38" s="4">
        <v>43035</v>
      </c>
      <c r="N38" s="5">
        <v>16</v>
      </c>
      <c r="O38" s="5" t="str">
        <f>"005954"</f>
        <v>005954</v>
      </c>
      <c r="P38" s="4">
        <v>43368</v>
      </c>
      <c r="Q38" s="7">
        <v>7.1960199999999999</v>
      </c>
      <c r="R38" s="7">
        <v>0.83313999999999999</v>
      </c>
      <c r="S38" s="7">
        <v>6.3628799999999996</v>
      </c>
      <c r="T38" s="5">
        <v>218</v>
      </c>
      <c r="U38" s="4">
        <v>43370</v>
      </c>
      <c r="V38" s="5">
        <v>8951120986</v>
      </c>
      <c r="W38" s="6" t="s">
        <v>154</v>
      </c>
      <c r="X38" s="5" t="s">
        <v>49</v>
      </c>
      <c r="Y38" s="6" t="s">
        <v>48</v>
      </c>
      <c r="Z38" s="5" t="s">
        <v>76</v>
      </c>
      <c r="AA38" s="6" t="s">
        <v>77</v>
      </c>
      <c r="AB38" s="7">
        <f>Q38/100</f>
        <v>7.1960200000000002E-2</v>
      </c>
      <c r="AD38" s="8"/>
      <c r="AF38" s="8"/>
      <c r="AG38" s="8"/>
    </row>
    <row r="39" spans="1:33" x14ac:dyDescent="0.2">
      <c r="A39" s="12">
        <v>6554</v>
      </c>
      <c r="B39" s="13" t="s">
        <v>42</v>
      </c>
      <c r="C39" s="13">
        <v>43389</v>
      </c>
      <c r="D39" s="5">
        <v>84</v>
      </c>
      <c r="E39" s="6" t="s">
        <v>79</v>
      </c>
      <c r="F39" s="5" t="s">
        <v>162</v>
      </c>
      <c r="G39" s="6" t="s">
        <v>163</v>
      </c>
      <c r="H39" s="5" t="str">
        <f>"000043"</f>
        <v>000043</v>
      </c>
      <c r="I39" s="4">
        <v>42976</v>
      </c>
      <c r="J39" s="5" t="str">
        <f>"000109"</f>
        <v>000109</v>
      </c>
      <c r="K39" s="4">
        <v>43131</v>
      </c>
      <c r="L39" s="5" t="str">
        <f>"000242"</f>
        <v>000242</v>
      </c>
      <c r="M39" s="4">
        <v>43131</v>
      </c>
      <c r="N39" s="5">
        <v>17</v>
      </c>
      <c r="O39" s="5" t="str">
        <f>"006569"</f>
        <v>006569</v>
      </c>
      <c r="P39" s="4">
        <v>43383</v>
      </c>
      <c r="Q39" s="7">
        <v>4.9420799999999998</v>
      </c>
      <c r="R39" s="7">
        <v>0.36930000000000002</v>
      </c>
      <c r="S39" s="7">
        <v>4.5727799999999998</v>
      </c>
      <c r="T39" s="5">
        <v>241</v>
      </c>
      <c r="U39" s="4">
        <v>43389</v>
      </c>
      <c r="V39" s="5">
        <v>9448593413</v>
      </c>
      <c r="W39" s="6" t="s">
        <v>164</v>
      </c>
      <c r="X39" s="5" t="s">
        <v>49</v>
      </c>
      <c r="Y39" s="6" t="s">
        <v>48</v>
      </c>
      <c r="Z39" s="5" t="s">
        <v>76</v>
      </c>
      <c r="AA39" s="6" t="s">
        <v>77</v>
      </c>
      <c r="AB39" s="7">
        <f>Q39/100</f>
        <v>4.9420800000000001E-2</v>
      </c>
      <c r="AD39" s="8"/>
      <c r="AF39" s="8"/>
      <c r="AG39" s="8"/>
    </row>
    <row r="40" spans="1:33" x14ac:dyDescent="0.2">
      <c r="A40" s="12">
        <v>6555</v>
      </c>
      <c r="B40" s="13" t="s">
        <v>42</v>
      </c>
      <c r="C40" s="13">
        <v>43389</v>
      </c>
      <c r="D40" s="5">
        <v>84</v>
      </c>
      <c r="E40" s="6" t="s">
        <v>79</v>
      </c>
      <c r="F40" s="5" t="s">
        <v>165</v>
      </c>
      <c r="G40" s="6" t="s">
        <v>166</v>
      </c>
      <c r="H40" s="5" t="str">
        <f>"000042"</f>
        <v>000042</v>
      </c>
      <c r="I40" s="4">
        <v>42976</v>
      </c>
      <c r="J40" s="5" t="str">
        <f>"000108"</f>
        <v>000108</v>
      </c>
      <c r="K40" s="4">
        <v>43131</v>
      </c>
      <c r="L40" s="5" t="str">
        <f>"000243"</f>
        <v>000243</v>
      </c>
      <c r="M40" s="4">
        <v>43131</v>
      </c>
      <c r="N40" s="5">
        <v>17</v>
      </c>
      <c r="O40" s="5" t="str">
        <f>"006570"</f>
        <v>006570</v>
      </c>
      <c r="P40" s="4">
        <v>43383</v>
      </c>
      <c r="Q40" s="7">
        <v>9.4488400000000006</v>
      </c>
      <c r="R40" s="7">
        <v>0.94240000000000002</v>
      </c>
      <c r="S40" s="7">
        <v>8.5064399999999996</v>
      </c>
      <c r="T40" s="5">
        <v>241</v>
      </c>
      <c r="U40" s="4">
        <v>43389</v>
      </c>
      <c r="V40" s="5">
        <v>9448593413</v>
      </c>
      <c r="W40" s="6" t="s">
        <v>164</v>
      </c>
      <c r="X40" s="5" t="s">
        <v>49</v>
      </c>
      <c r="Y40" s="6" t="s">
        <v>48</v>
      </c>
      <c r="Z40" s="5" t="s">
        <v>76</v>
      </c>
      <c r="AA40" s="6" t="s">
        <v>77</v>
      </c>
      <c r="AB40" s="7">
        <f>Q40/100</f>
        <v>9.44884E-2</v>
      </c>
      <c r="AD40" s="8"/>
      <c r="AF40" s="8"/>
      <c r="AG40" s="8"/>
    </row>
    <row r="41" spans="1:33" x14ac:dyDescent="0.2">
      <c r="A41" s="12">
        <v>6556</v>
      </c>
      <c r="B41" s="13" t="s">
        <v>42</v>
      </c>
      <c r="C41" s="13">
        <v>43389</v>
      </c>
      <c r="D41" s="5">
        <v>84</v>
      </c>
      <c r="E41" s="6" t="s">
        <v>79</v>
      </c>
      <c r="F41" s="5" t="s">
        <v>167</v>
      </c>
      <c r="G41" s="6" t="s">
        <v>168</v>
      </c>
      <c r="H41" s="5" t="str">
        <f>"000155"</f>
        <v>000155</v>
      </c>
      <c r="I41" s="4">
        <v>43131</v>
      </c>
      <c r="J41" s="5" t="str">
        <f>"000113"</f>
        <v>000113</v>
      </c>
      <c r="K41" s="4">
        <v>43131</v>
      </c>
      <c r="L41" s="5" t="str">
        <f>"000247"</f>
        <v>000247</v>
      </c>
      <c r="M41" s="4">
        <v>43131</v>
      </c>
      <c r="N41" s="5">
        <v>17</v>
      </c>
      <c r="O41" s="5" t="str">
        <f>"006571"</f>
        <v>006571</v>
      </c>
      <c r="P41" s="4">
        <v>43383</v>
      </c>
      <c r="Q41" s="7">
        <v>14.12445</v>
      </c>
      <c r="R41" s="7">
        <v>1.46898</v>
      </c>
      <c r="S41" s="7">
        <v>12.655469999999999</v>
      </c>
      <c r="T41" s="5">
        <v>241</v>
      </c>
      <c r="U41" s="4">
        <v>43389</v>
      </c>
      <c r="V41" s="5">
        <v>9480828222</v>
      </c>
      <c r="W41" s="6" t="s">
        <v>53</v>
      </c>
      <c r="X41" s="5" t="s">
        <v>51</v>
      </c>
      <c r="Y41" s="6" t="s">
        <v>50</v>
      </c>
      <c r="Z41" s="5" t="s">
        <v>76</v>
      </c>
      <c r="AA41" s="6" t="s">
        <v>77</v>
      </c>
      <c r="AB41" s="7">
        <f>Q41/100</f>
        <v>0.1412445</v>
      </c>
      <c r="AD41" s="8"/>
      <c r="AF41" s="8"/>
      <c r="AG41" s="8"/>
    </row>
    <row r="42" spans="1:33" x14ac:dyDescent="0.2">
      <c r="A42" s="12">
        <v>6557</v>
      </c>
      <c r="B42" s="13" t="s">
        <v>42</v>
      </c>
      <c r="C42" s="13">
        <v>43389</v>
      </c>
      <c r="D42" s="5">
        <v>84</v>
      </c>
      <c r="E42" s="6" t="s">
        <v>79</v>
      </c>
      <c r="F42" s="5" t="s">
        <v>169</v>
      </c>
      <c r="G42" s="6" t="s">
        <v>170</v>
      </c>
      <c r="H42" s="5" t="str">
        <f>"000156"</f>
        <v>000156</v>
      </c>
      <c r="I42" s="4">
        <v>43131</v>
      </c>
      <c r="J42" s="5" t="str">
        <f>"000114"</f>
        <v>000114</v>
      </c>
      <c r="K42" s="4">
        <v>43131</v>
      </c>
      <c r="L42" s="5" t="str">
        <f>"000249"</f>
        <v>000249</v>
      </c>
      <c r="M42" s="4">
        <v>43131</v>
      </c>
      <c r="N42" s="5">
        <v>17</v>
      </c>
      <c r="O42" s="5" t="str">
        <f>"006572"</f>
        <v>006572</v>
      </c>
      <c r="P42" s="4">
        <v>43383</v>
      </c>
      <c r="Q42" s="7">
        <v>49.597450000000002</v>
      </c>
      <c r="R42" s="7">
        <v>5.1086900000000002</v>
      </c>
      <c r="S42" s="7">
        <v>44.488759999999999</v>
      </c>
      <c r="T42" s="5">
        <v>241</v>
      </c>
      <c r="U42" s="4">
        <v>43389</v>
      </c>
      <c r="V42" s="5">
        <v>9480828222</v>
      </c>
      <c r="W42" s="6" t="s">
        <v>171</v>
      </c>
      <c r="X42" s="5" t="s">
        <v>51</v>
      </c>
      <c r="Y42" s="6" t="s">
        <v>50</v>
      </c>
      <c r="Z42" s="5" t="s">
        <v>76</v>
      </c>
      <c r="AA42" s="6" t="s">
        <v>77</v>
      </c>
      <c r="AB42" s="7">
        <f>Q42/100</f>
        <v>0.49597450000000004</v>
      </c>
      <c r="AD42" s="8"/>
      <c r="AF42" s="8"/>
      <c r="AG42" s="8"/>
    </row>
    <row r="43" spans="1:33" x14ac:dyDescent="0.2">
      <c r="A43" s="12">
        <v>6753</v>
      </c>
      <c r="B43" s="13" t="s">
        <v>42</v>
      </c>
      <c r="C43" s="13">
        <v>43390</v>
      </c>
      <c r="D43" s="5">
        <v>84</v>
      </c>
      <c r="E43" s="6" t="s">
        <v>79</v>
      </c>
      <c r="F43" s="5" t="s">
        <v>172</v>
      </c>
      <c r="G43" s="6" t="s">
        <v>173</v>
      </c>
      <c r="H43" s="5" t="str">
        <f>"000057"</f>
        <v>000057</v>
      </c>
      <c r="I43" s="4">
        <v>43311</v>
      </c>
      <c r="J43" s="5" t="str">
        <f>"000033"</f>
        <v>000033</v>
      </c>
      <c r="K43" s="4">
        <v>43311</v>
      </c>
      <c r="L43" s="5" t="str">
        <f>"000033"</f>
        <v>000033</v>
      </c>
      <c r="M43" s="4">
        <v>43311</v>
      </c>
      <c r="N43" s="5">
        <v>18</v>
      </c>
      <c r="O43" s="5" t="str">
        <f>"006783"</f>
        <v>006783</v>
      </c>
      <c r="P43" s="4">
        <v>43389</v>
      </c>
      <c r="Q43" s="7">
        <v>39.932139999999997</v>
      </c>
      <c r="R43" s="7">
        <v>4.0451199999999998</v>
      </c>
      <c r="S43" s="7">
        <v>35.88702</v>
      </c>
      <c r="T43" s="5">
        <v>245</v>
      </c>
      <c r="U43" s="4">
        <v>43390</v>
      </c>
      <c r="V43" s="5">
        <v>0</v>
      </c>
      <c r="W43" s="6" t="s">
        <v>72</v>
      </c>
      <c r="X43" s="5" t="s">
        <v>67</v>
      </c>
      <c r="Y43" s="6" t="s">
        <v>66</v>
      </c>
      <c r="Z43" s="5" t="s">
        <v>70</v>
      </c>
      <c r="AA43" s="6" t="s">
        <v>71</v>
      </c>
      <c r="AB43" s="7">
        <f>Q43/100</f>
        <v>0.39932139999999999</v>
      </c>
      <c r="AD43" s="8"/>
      <c r="AF43" s="8"/>
      <c r="AG43" s="8"/>
    </row>
    <row r="44" spans="1:33" x14ac:dyDescent="0.2">
      <c r="A44" s="12">
        <v>7227</v>
      </c>
      <c r="B44" s="13" t="s">
        <v>40</v>
      </c>
      <c r="C44" s="13">
        <v>43420</v>
      </c>
      <c r="D44" s="5">
        <v>84</v>
      </c>
      <c r="E44" s="6" t="s">
        <v>79</v>
      </c>
      <c r="F44" s="5" t="s">
        <v>174</v>
      </c>
      <c r="G44" s="6" t="s">
        <v>175</v>
      </c>
      <c r="H44" s="5" t="str">
        <f>"000097"</f>
        <v>000097</v>
      </c>
      <c r="I44" s="4">
        <v>43383</v>
      </c>
      <c r="J44" s="5" t="str">
        <f>"000062"</f>
        <v>000062</v>
      </c>
      <c r="K44" s="4">
        <v>43383</v>
      </c>
      <c r="L44" s="5" t="str">
        <f>"000158"</f>
        <v>000158</v>
      </c>
      <c r="M44" s="4">
        <v>43383</v>
      </c>
      <c r="N44" s="5">
        <v>18</v>
      </c>
      <c r="O44" s="5" t="str">
        <f>"007304"</f>
        <v>007304</v>
      </c>
      <c r="P44" s="4">
        <v>43417</v>
      </c>
      <c r="Q44" s="7">
        <v>19.795660000000002</v>
      </c>
      <c r="R44" s="7">
        <v>2.0389200000000001</v>
      </c>
      <c r="S44" s="7">
        <v>17.756740000000001</v>
      </c>
      <c r="T44" s="5">
        <v>265</v>
      </c>
      <c r="U44" s="4">
        <v>43420</v>
      </c>
      <c r="V44" s="5">
        <v>9480828222</v>
      </c>
      <c r="W44" s="6" t="s">
        <v>53</v>
      </c>
      <c r="X44" s="5" t="s">
        <v>61</v>
      </c>
      <c r="Y44" s="6" t="s">
        <v>60</v>
      </c>
      <c r="Z44" s="5" t="s">
        <v>76</v>
      </c>
      <c r="AA44" s="6" t="s">
        <v>77</v>
      </c>
      <c r="AB44" s="7">
        <f>Q44/100</f>
        <v>0.19795660000000001</v>
      </c>
      <c r="AD44" s="8"/>
      <c r="AF44" s="8"/>
      <c r="AG44" s="8"/>
    </row>
    <row r="45" spans="1:33" x14ac:dyDescent="0.2">
      <c r="A45" s="12">
        <v>7228</v>
      </c>
      <c r="B45" s="13" t="s">
        <v>40</v>
      </c>
      <c r="C45" s="13">
        <v>43420</v>
      </c>
      <c r="D45" s="5">
        <v>84</v>
      </c>
      <c r="E45" s="6" t="s">
        <v>79</v>
      </c>
      <c r="F45" s="5" t="s">
        <v>176</v>
      </c>
      <c r="G45" s="6" t="s">
        <v>177</v>
      </c>
      <c r="H45" s="5" t="str">
        <f>"000095"</f>
        <v>000095</v>
      </c>
      <c r="I45" s="4">
        <v>43383</v>
      </c>
      <c r="J45" s="5" t="str">
        <f>"000060"</f>
        <v>000060</v>
      </c>
      <c r="K45" s="4">
        <v>43383</v>
      </c>
      <c r="L45" s="5" t="str">
        <f>"000159"</f>
        <v>000159</v>
      </c>
      <c r="M45" s="4">
        <v>43383</v>
      </c>
      <c r="N45" s="5">
        <v>18</v>
      </c>
      <c r="O45" s="5" t="str">
        <f>"007305"</f>
        <v>007305</v>
      </c>
      <c r="P45" s="4">
        <v>43417</v>
      </c>
      <c r="Q45" s="7">
        <v>19.642299999999999</v>
      </c>
      <c r="R45" s="7">
        <v>2.0232299999999999</v>
      </c>
      <c r="S45" s="7">
        <v>17.619070000000001</v>
      </c>
      <c r="T45" s="5">
        <v>265</v>
      </c>
      <c r="U45" s="4">
        <v>43420</v>
      </c>
      <c r="V45" s="5">
        <v>9480828222</v>
      </c>
      <c r="W45" s="6" t="s">
        <v>53</v>
      </c>
      <c r="X45" s="5" t="s">
        <v>61</v>
      </c>
      <c r="Y45" s="6" t="s">
        <v>60</v>
      </c>
      <c r="Z45" s="5" t="s">
        <v>76</v>
      </c>
      <c r="AA45" s="6" t="s">
        <v>77</v>
      </c>
      <c r="AB45" s="7">
        <f>Q45/100</f>
        <v>0.19642299999999999</v>
      </c>
      <c r="AD45" s="8"/>
      <c r="AF45" s="8"/>
      <c r="AG45" s="8"/>
    </row>
    <row r="46" spans="1:33" x14ac:dyDescent="0.2">
      <c r="A46" s="12">
        <v>7229</v>
      </c>
      <c r="B46" s="13" t="s">
        <v>40</v>
      </c>
      <c r="C46" s="13">
        <v>43420</v>
      </c>
      <c r="D46" s="5">
        <v>84</v>
      </c>
      <c r="E46" s="6" t="s">
        <v>79</v>
      </c>
      <c r="F46" s="5" t="s">
        <v>178</v>
      </c>
      <c r="G46" s="6" t="s">
        <v>179</v>
      </c>
      <c r="H46" s="5" t="str">
        <f>"000096"</f>
        <v>000096</v>
      </c>
      <c r="I46" s="4">
        <v>43383</v>
      </c>
      <c r="J46" s="5" t="str">
        <f>"000061"</f>
        <v>000061</v>
      </c>
      <c r="K46" s="4">
        <v>43383</v>
      </c>
      <c r="L46" s="5" t="str">
        <f>"000160"</f>
        <v>000160</v>
      </c>
      <c r="M46" s="4">
        <v>43383</v>
      </c>
      <c r="N46" s="5">
        <v>18</v>
      </c>
      <c r="O46" s="5" t="str">
        <f>"007306"</f>
        <v>007306</v>
      </c>
      <c r="P46" s="4">
        <v>43417</v>
      </c>
      <c r="Q46" s="7">
        <v>29.989850000000001</v>
      </c>
      <c r="R46" s="7">
        <v>3.09</v>
      </c>
      <c r="S46" s="7">
        <v>26.899850000000001</v>
      </c>
      <c r="T46" s="5">
        <v>265</v>
      </c>
      <c r="U46" s="4">
        <v>43420</v>
      </c>
      <c r="V46" s="5">
        <v>9480828222</v>
      </c>
      <c r="W46" s="6" t="s">
        <v>53</v>
      </c>
      <c r="X46" s="5" t="s">
        <v>61</v>
      </c>
      <c r="Y46" s="6" t="s">
        <v>60</v>
      </c>
      <c r="Z46" s="5" t="s">
        <v>76</v>
      </c>
      <c r="AA46" s="6" t="s">
        <v>77</v>
      </c>
      <c r="AB46" s="7">
        <f>Q46/100</f>
        <v>0.29989850000000001</v>
      </c>
      <c r="AD46" s="8"/>
      <c r="AF46" s="8"/>
      <c r="AG46" s="8"/>
    </row>
    <row r="47" spans="1:33" x14ac:dyDescent="0.2">
      <c r="A47" s="12">
        <v>7230</v>
      </c>
      <c r="B47" s="13" t="s">
        <v>40</v>
      </c>
      <c r="C47" s="13">
        <v>43420</v>
      </c>
      <c r="D47" s="5">
        <v>84</v>
      </c>
      <c r="E47" s="6" t="s">
        <v>79</v>
      </c>
      <c r="F47" s="5" t="s">
        <v>180</v>
      </c>
      <c r="G47" s="6" t="s">
        <v>181</v>
      </c>
      <c r="H47" s="5" t="str">
        <f>"000106"</f>
        <v>000106</v>
      </c>
      <c r="I47" s="4">
        <v>42525</v>
      </c>
      <c r="J47" s="5" t="str">
        <f>"000189"</f>
        <v>000189</v>
      </c>
      <c r="K47" s="4">
        <v>42884</v>
      </c>
      <c r="L47" s="5" t="str">
        <f>"000"</f>
        <v>000</v>
      </c>
      <c r="M47" s="4">
        <v>51</v>
      </c>
      <c r="N47" s="5">
        <v>16</v>
      </c>
      <c r="O47" s="5" t="str">
        <f>"007253"</f>
        <v>007253</v>
      </c>
      <c r="P47" s="4">
        <v>43407</v>
      </c>
      <c r="Q47" s="7">
        <v>20.71519</v>
      </c>
      <c r="R47" s="7">
        <v>2.6608100000000001</v>
      </c>
      <c r="S47" s="7">
        <v>18.054379999999998</v>
      </c>
      <c r="T47" s="5">
        <v>266</v>
      </c>
      <c r="U47" s="4">
        <v>43420</v>
      </c>
      <c r="V47" s="5">
        <v>9480828222</v>
      </c>
      <c r="W47" s="6" t="s">
        <v>182</v>
      </c>
      <c r="X47" s="5" t="s">
        <v>51</v>
      </c>
      <c r="Y47" s="6" t="s">
        <v>50</v>
      </c>
      <c r="Z47" s="5" t="s">
        <v>76</v>
      </c>
      <c r="AA47" s="6" t="s">
        <v>77</v>
      </c>
      <c r="AB47" s="7">
        <f>Q47/100</f>
        <v>0.2071519</v>
      </c>
      <c r="AD47" s="8"/>
      <c r="AF47" s="8"/>
      <c r="AG47" s="8"/>
    </row>
    <row r="48" spans="1:33" x14ac:dyDescent="0.2">
      <c r="A48" s="12">
        <v>7231</v>
      </c>
      <c r="B48" s="13" t="s">
        <v>40</v>
      </c>
      <c r="C48" s="13">
        <v>43420</v>
      </c>
      <c r="D48" s="5">
        <v>84</v>
      </c>
      <c r="E48" s="6" t="s">
        <v>79</v>
      </c>
      <c r="F48" s="5" t="s">
        <v>183</v>
      </c>
      <c r="G48" s="6" t="s">
        <v>184</v>
      </c>
      <c r="H48" s="5" t="str">
        <f>"000105"</f>
        <v>000105</v>
      </c>
      <c r="I48" s="4">
        <v>42525</v>
      </c>
      <c r="J48" s="5" t="str">
        <f>"000187"</f>
        <v>000187</v>
      </c>
      <c r="K48" s="4">
        <v>42525</v>
      </c>
      <c r="L48" s="5" t="str">
        <f>"000049"</f>
        <v>000049</v>
      </c>
      <c r="M48" s="4">
        <v>42884</v>
      </c>
      <c r="N48" s="5">
        <v>16</v>
      </c>
      <c r="O48" s="5" t="str">
        <f>"007254"</f>
        <v>007254</v>
      </c>
      <c r="P48" s="4">
        <v>43407</v>
      </c>
      <c r="Q48" s="7">
        <v>17.38579</v>
      </c>
      <c r="R48" s="7">
        <v>2.2245699999999999</v>
      </c>
      <c r="S48" s="7">
        <v>15.16122</v>
      </c>
      <c r="T48" s="5">
        <v>266</v>
      </c>
      <c r="U48" s="4">
        <v>43420</v>
      </c>
      <c r="V48" s="5">
        <v>9164137081</v>
      </c>
      <c r="W48" s="6" t="s">
        <v>102</v>
      </c>
      <c r="X48" s="5" t="s">
        <v>51</v>
      </c>
      <c r="Y48" s="6" t="s">
        <v>50</v>
      </c>
      <c r="Z48" s="5" t="s">
        <v>76</v>
      </c>
      <c r="AA48" s="6" t="s">
        <v>77</v>
      </c>
      <c r="AB48" s="7">
        <f>Q48/100</f>
        <v>0.17385790000000001</v>
      </c>
      <c r="AD48" s="8"/>
      <c r="AF48" s="8"/>
      <c r="AG48" s="8"/>
    </row>
    <row r="49" spans="1:33" x14ac:dyDescent="0.2">
      <c r="A49" s="12">
        <v>7232</v>
      </c>
      <c r="B49" s="13" t="s">
        <v>40</v>
      </c>
      <c r="C49" s="13">
        <v>43420</v>
      </c>
      <c r="D49" s="5">
        <v>84</v>
      </c>
      <c r="E49" s="6" t="s">
        <v>79</v>
      </c>
      <c r="F49" s="5" t="s">
        <v>185</v>
      </c>
      <c r="G49" s="6" t="s">
        <v>186</v>
      </c>
      <c r="H49" s="5" t="str">
        <f>"00"</f>
        <v>00</v>
      </c>
      <c r="I49" s="4">
        <v>113</v>
      </c>
      <c r="J49" s="5" t="str">
        <f>"000188"</f>
        <v>000188</v>
      </c>
      <c r="K49" s="4">
        <v>42678</v>
      </c>
      <c r="L49" s="5" t="str">
        <f>"000050"</f>
        <v>000050</v>
      </c>
      <c r="M49" s="4">
        <v>42884</v>
      </c>
      <c r="N49" s="5">
        <v>16</v>
      </c>
      <c r="O49" s="5" t="str">
        <f>"007255"</f>
        <v>007255</v>
      </c>
      <c r="P49" s="4">
        <v>43407</v>
      </c>
      <c r="Q49" s="7">
        <v>20.74821</v>
      </c>
      <c r="R49" s="7">
        <v>2.6645400000000001</v>
      </c>
      <c r="S49" s="7">
        <v>18.083670000000001</v>
      </c>
      <c r="T49" s="5">
        <v>266</v>
      </c>
      <c r="U49" s="4">
        <v>43420</v>
      </c>
      <c r="V49" s="5">
        <v>9480828222</v>
      </c>
      <c r="W49" s="6" t="s">
        <v>182</v>
      </c>
      <c r="X49" s="5" t="s">
        <v>51</v>
      </c>
      <c r="Y49" s="6" t="s">
        <v>50</v>
      </c>
      <c r="Z49" s="5" t="s">
        <v>76</v>
      </c>
      <c r="AA49" s="6" t="s">
        <v>77</v>
      </c>
      <c r="AB49" s="7">
        <f>Q49/100</f>
        <v>0.2074821</v>
      </c>
      <c r="AD49" s="8"/>
      <c r="AF49" s="8"/>
      <c r="AG49" s="8"/>
    </row>
    <row r="50" spans="1:33" x14ac:dyDescent="0.2">
      <c r="A50" s="12">
        <v>7233</v>
      </c>
      <c r="B50" s="13" t="s">
        <v>40</v>
      </c>
      <c r="C50" s="13">
        <v>43420</v>
      </c>
      <c r="D50" s="5">
        <v>84</v>
      </c>
      <c r="E50" s="6" t="s">
        <v>79</v>
      </c>
      <c r="F50" s="5" t="s">
        <v>187</v>
      </c>
      <c r="G50" s="6" t="s">
        <v>188</v>
      </c>
      <c r="H50" s="5" t="str">
        <f>"000108"</f>
        <v>000108</v>
      </c>
      <c r="I50" s="4">
        <v>42525</v>
      </c>
      <c r="J50" s="5" t="str">
        <f>"000190"</f>
        <v>000190</v>
      </c>
      <c r="K50" s="4">
        <v>42678</v>
      </c>
      <c r="L50" s="5" t="str">
        <f>"000052"</f>
        <v>000052</v>
      </c>
      <c r="M50" s="4">
        <v>42884</v>
      </c>
      <c r="N50" s="5">
        <v>16</v>
      </c>
      <c r="O50" s="5" t="str">
        <f>"007256"</f>
        <v>007256</v>
      </c>
      <c r="P50" s="4">
        <v>43407</v>
      </c>
      <c r="Q50" s="7">
        <v>20.736470000000001</v>
      </c>
      <c r="R50" s="7">
        <v>2.6631999999999998</v>
      </c>
      <c r="S50" s="7">
        <v>18.073270000000001</v>
      </c>
      <c r="T50" s="5">
        <v>266</v>
      </c>
      <c r="U50" s="4">
        <v>43420</v>
      </c>
      <c r="V50" s="5">
        <v>9480828222</v>
      </c>
      <c r="W50" s="6" t="s">
        <v>182</v>
      </c>
      <c r="X50" s="5" t="s">
        <v>51</v>
      </c>
      <c r="Y50" s="6" t="s">
        <v>50</v>
      </c>
      <c r="Z50" s="5" t="s">
        <v>76</v>
      </c>
      <c r="AA50" s="6" t="s">
        <v>77</v>
      </c>
      <c r="AB50" s="7">
        <f>Q50/100</f>
        <v>0.20736470000000001</v>
      </c>
      <c r="AD50" s="8"/>
      <c r="AF50" s="8"/>
      <c r="AG50" s="8"/>
    </row>
    <row r="51" spans="1:33" x14ac:dyDescent="0.2">
      <c r="A51" s="12">
        <v>7234</v>
      </c>
      <c r="B51" s="13" t="s">
        <v>40</v>
      </c>
      <c r="C51" s="13">
        <v>43420</v>
      </c>
      <c r="D51" s="5">
        <v>84</v>
      </c>
      <c r="E51" s="6" t="s">
        <v>79</v>
      </c>
      <c r="F51" s="5" t="s">
        <v>189</v>
      </c>
      <c r="G51" s="6" t="s">
        <v>190</v>
      </c>
      <c r="H51" s="5" t="str">
        <f>"000110"</f>
        <v>000110</v>
      </c>
      <c r="I51" s="4">
        <v>42525</v>
      </c>
      <c r="J51" s="5" t="str">
        <f>"000192"</f>
        <v>000192</v>
      </c>
      <c r="K51" s="4">
        <v>42678</v>
      </c>
      <c r="L51" s="5" t="str">
        <f>"000053"</f>
        <v>000053</v>
      </c>
      <c r="M51" s="4">
        <v>42884</v>
      </c>
      <c r="N51" s="5">
        <v>16</v>
      </c>
      <c r="O51" s="5" t="str">
        <f>"007257"</f>
        <v>007257</v>
      </c>
      <c r="P51" s="4">
        <v>43407</v>
      </c>
      <c r="Q51" s="7">
        <v>16.962209999999999</v>
      </c>
      <c r="R51" s="7">
        <v>2.17672</v>
      </c>
      <c r="S51" s="7">
        <v>14.785489999999999</v>
      </c>
      <c r="T51" s="5">
        <v>266</v>
      </c>
      <c r="U51" s="4">
        <v>43420</v>
      </c>
      <c r="V51" s="5">
        <v>9480828222</v>
      </c>
      <c r="W51" s="6" t="s">
        <v>182</v>
      </c>
      <c r="X51" s="5" t="s">
        <v>51</v>
      </c>
      <c r="Y51" s="6" t="s">
        <v>50</v>
      </c>
      <c r="Z51" s="5" t="s">
        <v>76</v>
      </c>
      <c r="AA51" s="6" t="s">
        <v>77</v>
      </c>
      <c r="AB51" s="7">
        <f>Q51/100</f>
        <v>0.1696221</v>
      </c>
      <c r="AD51" s="8"/>
      <c r="AF51" s="8"/>
      <c r="AG51" s="8"/>
    </row>
    <row r="52" spans="1:33" x14ac:dyDescent="0.2">
      <c r="A52" s="12">
        <v>7235</v>
      </c>
      <c r="B52" s="13" t="s">
        <v>40</v>
      </c>
      <c r="C52" s="13">
        <v>43420</v>
      </c>
      <c r="D52" s="5">
        <v>84</v>
      </c>
      <c r="E52" s="6" t="s">
        <v>79</v>
      </c>
      <c r="F52" s="5" t="s">
        <v>191</v>
      </c>
      <c r="G52" s="6" t="s">
        <v>192</v>
      </c>
      <c r="H52" s="5" t="str">
        <f>"000107"</f>
        <v>000107</v>
      </c>
      <c r="I52" s="4">
        <v>42525</v>
      </c>
      <c r="J52" s="5" t="str">
        <f>"000193"</f>
        <v>000193</v>
      </c>
      <c r="K52" s="4">
        <v>42678</v>
      </c>
      <c r="L52" s="5" t="str">
        <f>"000054"</f>
        <v>000054</v>
      </c>
      <c r="M52" s="4">
        <v>42884</v>
      </c>
      <c r="N52" s="5">
        <v>16</v>
      </c>
      <c r="O52" s="5" t="str">
        <f>"007258"</f>
        <v>007258</v>
      </c>
      <c r="P52" s="4">
        <v>43407</v>
      </c>
      <c r="Q52" s="7">
        <v>20.671749999999999</v>
      </c>
      <c r="R52" s="7">
        <v>2.6558899999999999</v>
      </c>
      <c r="S52" s="7">
        <v>18.01586</v>
      </c>
      <c r="T52" s="5">
        <v>266</v>
      </c>
      <c r="U52" s="4">
        <v>43420</v>
      </c>
      <c r="V52" s="5">
        <v>9480828222</v>
      </c>
      <c r="W52" s="6" t="s">
        <v>193</v>
      </c>
      <c r="X52" s="5" t="s">
        <v>51</v>
      </c>
      <c r="Y52" s="6" t="s">
        <v>50</v>
      </c>
      <c r="Z52" s="5" t="s">
        <v>76</v>
      </c>
      <c r="AA52" s="6" t="s">
        <v>77</v>
      </c>
      <c r="AB52" s="7">
        <f>Q52/100</f>
        <v>0.2067175</v>
      </c>
      <c r="AD52" s="8"/>
      <c r="AF52" s="8"/>
      <c r="AG52" s="8"/>
    </row>
    <row r="53" spans="1:33" x14ac:dyDescent="0.2">
      <c r="A53" s="12">
        <v>7236</v>
      </c>
      <c r="B53" s="13" t="s">
        <v>40</v>
      </c>
      <c r="C53" s="13">
        <v>43420</v>
      </c>
      <c r="D53" s="5">
        <v>84</v>
      </c>
      <c r="E53" s="6" t="s">
        <v>79</v>
      </c>
      <c r="F53" s="5" t="s">
        <v>194</v>
      </c>
      <c r="G53" s="6" t="s">
        <v>195</v>
      </c>
      <c r="H53" s="5" t="str">
        <f>"000100"</f>
        <v>000100</v>
      </c>
      <c r="I53" s="4">
        <v>42523</v>
      </c>
      <c r="J53" s="5" t="str">
        <f>"000194"</f>
        <v>000194</v>
      </c>
      <c r="K53" s="4">
        <v>42678</v>
      </c>
      <c r="L53" s="5" t="str">
        <f>"000055"</f>
        <v>000055</v>
      </c>
      <c r="M53" s="4">
        <v>42884</v>
      </c>
      <c r="N53" s="5">
        <v>16</v>
      </c>
      <c r="O53" s="5" t="str">
        <f>"007259"</f>
        <v>007259</v>
      </c>
      <c r="P53" s="4">
        <v>43407</v>
      </c>
      <c r="Q53" s="7">
        <v>20.71641</v>
      </c>
      <c r="R53" s="7">
        <v>2.6609500000000001</v>
      </c>
      <c r="S53" s="7">
        <v>18.05546</v>
      </c>
      <c r="T53" s="5">
        <v>266</v>
      </c>
      <c r="U53" s="4">
        <v>43420</v>
      </c>
      <c r="V53" s="5">
        <v>9480828222</v>
      </c>
      <c r="W53" s="6" t="s">
        <v>182</v>
      </c>
      <c r="X53" s="5" t="s">
        <v>51</v>
      </c>
      <c r="Y53" s="6" t="s">
        <v>50</v>
      </c>
      <c r="Z53" s="5" t="s">
        <v>76</v>
      </c>
      <c r="AA53" s="6" t="s">
        <v>77</v>
      </c>
      <c r="AB53" s="7">
        <f>Q53/100</f>
        <v>0.20716409999999999</v>
      </c>
      <c r="AD53" s="8"/>
      <c r="AF53" s="8"/>
      <c r="AG53" s="8"/>
    </row>
    <row r="54" spans="1:33" x14ac:dyDescent="0.2">
      <c r="A54" s="12">
        <v>7237</v>
      </c>
      <c r="B54" s="13" t="s">
        <v>40</v>
      </c>
      <c r="C54" s="13">
        <v>43420</v>
      </c>
      <c r="D54" s="5">
        <v>84</v>
      </c>
      <c r="E54" s="6" t="s">
        <v>79</v>
      </c>
      <c r="F54" s="5" t="s">
        <v>196</v>
      </c>
      <c r="G54" s="6" t="s">
        <v>197</v>
      </c>
      <c r="H54" s="5" t="str">
        <f>"000135"</f>
        <v>000135</v>
      </c>
      <c r="I54" s="4">
        <v>42545</v>
      </c>
      <c r="J54" s="5" t="str">
        <f>"000280"</f>
        <v>000280</v>
      </c>
      <c r="K54" s="4">
        <v>42816</v>
      </c>
      <c r="L54" s="5" t="str">
        <f>"000696"</f>
        <v>000696</v>
      </c>
      <c r="M54" s="4">
        <v>42825</v>
      </c>
      <c r="N54" s="5">
        <v>16</v>
      </c>
      <c r="O54" s="5" t="str">
        <f>"007236"</f>
        <v>007236</v>
      </c>
      <c r="P54" s="4">
        <v>43406</v>
      </c>
      <c r="Q54" s="7">
        <v>17.958829999999999</v>
      </c>
      <c r="R54" s="7">
        <v>2.3313799999999998</v>
      </c>
      <c r="S54" s="7">
        <v>15.62745</v>
      </c>
      <c r="T54" s="5">
        <v>267</v>
      </c>
      <c r="U54" s="4">
        <v>43420</v>
      </c>
      <c r="V54" s="5">
        <v>9980728302</v>
      </c>
      <c r="W54" s="6" t="s">
        <v>78</v>
      </c>
      <c r="X54" s="5" t="s">
        <v>44</v>
      </c>
      <c r="Y54" s="6" t="s">
        <v>43</v>
      </c>
      <c r="Z54" s="5" t="s">
        <v>76</v>
      </c>
      <c r="AA54" s="6" t="s">
        <v>77</v>
      </c>
      <c r="AB54" s="7">
        <f>Q54/100</f>
        <v>0.17958829999999998</v>
      </c>
      <c r="AD54" s="8"/>
      <c r="AF54" s="8"/>
      <c r="AG54" s="8"/>
    </row>
    <row r="55" spans="1:33" x14ac:dyDescent="0.2">
      <c r="A55" s="12">
        <v>7740</v>
      </c>
      <c r="B55" s="13" t="s">
        <v>41</v>
      </c>
      <c r="C55" s="13">
        <v>43448</v>
      </c>
      <c r="D55" s="5">
        <v>84</v>
      </c>
      <c r="E55" s="6" t="s">
        <v>79</v>
      </c>
      <c r="F55" s="5" t="s">
        <v>198</v>
      </c>
      <c r="G55" s="6" t="s">
        <v>199</v>
      </c>
      <c r="H55" s="5" t="str">
        <f>"000111"</f>
        <v>000111</v>
      </c>
      <c r="I55" s="4">
        <v>42525</v>
      </c>
      <c r="J55" s="5" t="str">
        <f>"000141"</f>
        <v>000141</v>
      </c>
      <c r="K55" s="4">
        <v>42612</v>
      </c>
      <c r="L55" s="5" t="str">
        <f>"000701"</f>
        <v>000701</v>
      </c>
      <c r="M55" s="4">
        <v>42825</v>
      </c>
      <c r="N55" s="5">
        <v>16</v>
      </c>
      <c r="O55" s="5" t="str">
        <f>"007982"</f>
        <v>007982</v>
      </c>
      <c r="P55" s="4">
        <v>43448</v>
      </c>
      <c r="Q55" s="7">
        <v>19.168209999999998</v>
      </c>
      <c r="R55" s="7">
        <v>2.38598</v>
      </c>
      <c r="S55" s="7">
        <v>16.782229999999998</v>
      </c>
      <c r="T55" s="5">
        <v>291</v>
      </c>
      <c r="U55" s="4">
        <v>43448</v>
      </c>
      <c r="V55" s="5">
        <v>9164137081</v>
      </c>
      <c r="W55" s="6" t="s">
        <v>200</v>
      </c>
      <c r="X55" s="5" t="s">
        <v>51</v>
      </c>
      <c r="Y55" s="6" t="s">
        <v>50</v>
      </c>
      <c r="Z55" s="5" t="s">
        <v>76</v>
      </c>
      <c r="AA55" s="6" t="s">
        <v>77</v>
      </c>
      <c r="AB55" s="7">
        <f>Q55/100</f>
        <v>0.19168209999999999</v>
      </c>
      <c r="AD55" s="8"/>
      <c r="AF55" s="8"/>
      <c r="AG55" s="8"/>
    </row>
    <row r="56" spans="1:33" x14ac:dyDescent="0.2">
      <c r="A56" s="12">
        <v>7741</v>
      </c>
      <c r="B56" s="13" t="s">
        <v>41</v>
      </c>
      <c r="C56" s="13">
        <v>43448</v>
      </c>
      <c r="D56" s="5">
        <v>84</v>
      </c>
      <c r="E56" s="6" t="s">
        <v>79</v>
      </c>
      <c r="F56" s="5" t="s">
        <v>201</v>
      </c>
      <c r="G56" s="6" t="s">
        <v>202</v>
      </c>
      <c r="H56" s="5" t="str">
        <f>"000059"</f>
        <v>000059</v>
      </c>
      <c r="I56" s="4">
        <v>42010</v>
      </c>
      <c r="J56" s="5" t="str">
        <f>"000117"</f>
        <v>000117</v>
      </c>
      <c r="K56" s="4">
        <v>42915</v>
      </c>
      <c r="L56" s="5" t="str">
        <f>"000228"</f>
        <v>000228</v>
      </c>
      <c r="M56" s="4">
        <v>42916</v>
      </c>
      <c r="N56" s="5">
        <v>13</v>
      </c>
      <c r="O56" s="5" t="str">
        <f>"007768"</f>
        <v>007768</v>
      </c>
      <c r="P56" s="4">
        <v>43444</v>
      </c>
      <c r="Q56" s="7">
        <v>13.61843</v>
      </c>
      <c r="R56" s="7">
        <v>1.87514</v>
      </c>
      <c r="S56" s="7">
        <v>11.74329</v>
      </c>
      <c r="T56" s="5">
        <v>292</v>
      </c>
      <c r="U56" s="4">
        <v>43448</v>
      </c>
      <c r="V56" s="5">
        <v>9480828222</v>
      </c>
      <c r="W56" s="6" t="s">
        <v>73</v>
      </c>
      <c r="X56" s="5" t="s">
        <v>74</v>
      </c>
      <c r="Y56" s="6" t="s">
        <v>75</v>
      </c>
      <c r="Z56" s="5" t="s">
        <v>76</v>
      </c>
      <c r="AA56" s="6" t="s">
        <v>77</v>
      </c>
      <c r="AB56" s="7">
        <f>Q56/100</f>
        <v>0.13618430000000001</v>
      </c>
      <c r="AD56" s="8"/>
      <c r="AF56" s="8"/>
      <c r="AG56" s="8"/>
    </row>
    <row r="57" spans="1:33" x14ac:dyDescent="0.2">
      <c r="A57" s="12">
        <v>7869</v>
      </c>
      <c r="B57" s="13" t="s">
        <v>41</v>
      </c>
      <c r="C57" s="13">
        <v>43453</v>
      </c>
      <c r="D57" s="5">
        <v>84</v>
      </c>
      <c r="E57" s="6" t="s">
        <v>79</v>
      </c>
      <c r="F57" s="5" t="s">
        <v>203</v>
      </c>
      <c r="G57" s="6" t="s">
        <v>204</v>
      </c>
      <c r="H57" s="5" t="str">
        <f>"000178"</f>
        <v>000178</v>
      </c>
      <c r="I57" s="4">
        <v>43428</v>
      </c>
      <c r="J57" s="5" t="str">
        <f>"000073"</f>
        <v>000073</v>
      </c>
      <c r="K57" s="4">
        <v>43428</v>
      </c>
      <c r="L57" s="5" t="str">
        <f>"000184"</f>
        <v>000184</v>
      </c>
      <c r="M57" s="4">
        <v>43428</v>
      </c>
      <c r="N57" s="5">
        <v>18</v>
      </c>
      <c r="O57" s="5" t="str">
        <f>"008079"</f>
        <v>008079</v>
      </c>
      <c r="P57" s="4">
        <v>43451</v>
      </c>
      <c r="Q57" s="7">
        <v>14.970549999999999</v>
      </c>
      <c r="R57" s="7">
        <v>1.7620199999999999</v>
      </c>
      <c r="S57" s="7">
        <v>13.20853</v>
      </c>
      <c r="T57" s="5">
        <v>296</v>
      </c>
      <c r="U57" s="4">
        <v>43453</v>
      </c>
      <c r="V57" s="5">
        <v>9480828222</v>
      </c>
      <c r="W57" s="6" t="s">
        <v>205</v>
      </c>
      <c r="X57" s="5" t="s">
        <v>59</v>
      </c>
      <c r="Y57" s="6" t="s">
        <v>58</v>
      </c>
      <c r="Z57" s="5" t="s">
        <v>76</v>
      </c>
      <c r="AA57" s="6" t="s">
        <v>77</v>
      </c>
      <c r="AB57" s="7">
        <f>Q57/100</f>
        <v>0.14970549999999999</v>
      </c>
      <c r="AD57" s="8"/>
      <c r="AF57" s="8"/>
      <c r="AG57" s="8"/>
    </row>
    <row r="58" spans="1:33" x14ac:dyDescent="0.2">
      <c r="A58" s="12">
        <v>7870</v>
      </c>
      <c r="B58" s="13" t="s">
        <v>41</v>
      </c>
      <c r="C58" s="13">
        <v>43453</v>
      </c>
      <c r="D58" s="5">
        <v>84</v>
      </c>
      <c r="E58" s="6" t="s">
        <v>79</v>
      </c>
      <c r="F58" s="5" t="s">
        <v>206</v>
      </c>
      <c r="G58" s="6" t="s">
        <v>207</v>
      </c>
      <c r="H58" s="5" t="str">
        <f>"000179"</f>
        <v>000179</v>
      </c>
      <c r="I58" s="4">
        <v>43428</v>
      </c>
      <c r="J58" s="5" t="str">
        <f>"000074"</f>
        <v>000074</v>
      </c>
      <c r="K58" s="4">
        <v>43428</v>
      </c>
      <c r="L58" s="5" t="str">
        <f>"000185"</f>
        <v>000185</v>
      </c>
      <c r="M58" s="4">
        <v>43428</v>
      </c>
      <c r="N58" s="5">
        <v>18</v>
      </c>
      <c r="O58" s="5" t="str">
        <f>"008080"</f>
        <v>008080</v>
      </c>
      <c r="P58" s="4">
        <v>43451</v>
      </c>
      <c r="Q58" s="7">
        <v>4.9045899999999998</v>
      </c>
      <c r="R58" s="7">
        <v>0.50995000000000001</v>
      </c>
      <c r="S58" s="7">
        <v>4.3946399999999999</v>
      </c>
      <c r="T58" s="5">
        <v>296</v>
      </c>
      <c r="U58" s="4">
        <v>43453</v>
      </c>
      <c r="V58" s="5">
        <v>9480828222</v>
      </c>
      <c r="W58" s="6" t="s">
        <v>52</v>
      </c>
      <c r="X58" s="5" t="s">
        <v>63</v>
      </c>
      <c r="Y58" s="6" t="s">
        <v>62</v>
      </c>
      <c r="Z58" s="5" t="s">
        <v>76</v>
      </c>
      <c r="AA58" s="6" t="s">
        <v>77</v>
      </c>
      <c r="AB58" s="7">
        <f>Q58/100</f>
        <v>4.9045899999999996E-2</v>
      </c>
      <c r="AD58" s="8"/>
      <c r="AF58" s="8"/>
      <c r="AG58" s="8"/>
    </row>
    <row r="59" spans="1:33" x14ac:dyDescent="0.2">
      <c r="A59" s="12">
        <v>7871</v>
      </c>
      <c r="B59" s="13" t="s">
        <v>41</v>
      </c>
      <c r="C59" s="13">
        <v>43453</v>
      </c>
      <c r="D59" s="5">
        <v>84</v>
      </c>
      <c r="E59" s="6" t="s">
        <v>79</v>
      </c>
      <c r="F59" s="5" t="s">
        <v>208</v>
      </c>
      <c r="G59" s="6" t="s">
        <v>209</v>
      </c>
      <c r="H59" s="5" t="str">
        <f>"000181"</f>
        <v>000181</v>
      </c>
      <c r="I59" s="4">
        <v>43431</v>
      </c>
      <c r="J59" s="5" t="str">
        <f>"000076"</f>
        <v>000076</v>
      </c>
      <c r="K59" s="4">
        <v>43432</v>
      </c>
      <c r="L59" s="5" t="str">
        <f>"000187"</f>
        <v>000187</v>
      </c>
      <c r="M59" s="4">
        <v>43432</v>
      </c>
      <c r="N59" s="5">
        <v>18</v>
      </c>
      <c r="O59" s="5" t="str">
        <f>"008081"</f>
        <v>008081</v>
      </c>
      <c r="P59" s="4">
        <v>43451</v>
      </c>
      <c r="Q59" s="7">
        <v>49.94135</v>
      </c>
      <c r="R59" s="7">
        <v>5.6968699999999997</v>
      </c>
      <c r="S59" s="7">
        <v>44.244480000000003</v>
      </c>
      <c r="T59" s="5">
        <v>296</v>
      </c>
      <c r="U59" s="4">
        <v>43453</v>
      </c>
      <c r="V59" s="5">
        <v>9480828222</v>
      </c>
      <c r="W59" s="6" t="s">
        <v>210</v>
      </c>
      <c r="X59" s="5" t="s">
        <v>59</v>
      </c>
      <c r="Y59" s="6" t="s">
        <v>58</v>
      </c>
      <c r="Z59" s="5" t="s">
        <v>76</v>
      </c>
      <c r="AA59" s="6" t="s">
        <v>77</v>
      </c>
      <c r="AB59" s="7">
        <f>Q59/100</f>
        <v>0.49941350000000001</v>
      </c>
      <c r="AD59" s="8"/>
      <c r="AF59" s="8"/>
      <c r="AG59" s="8"/>
    </row>
    <row r="60" spans="1:33" x14ac:dyDescent="0.2">
      <c r="A60" s="12">
        <v>7872</v>
      </c>
      <c r="B60" s="13" t="s">
        <v>41</v>
      </c>
      <c r="C60" s="13">
        <v>43453</v>
      </c>
      <c r="D60" s="5">
        <v>84</v>
      </c>
      <c r="E60" s="6" t="s">
        <v>79</v>
      </c>
      <c r="F60" s="5" t="s">
        <v>211</v>
      </c>
      <c r="G60" s="6" t="s">
        <v>212</v>
      </c>
      <c r="H60" s="5" t="str">
        <f>"000182"</f>
        <v>000182</v>
      </c>
      <c r="I60" s="4">
        <v>43431</v>
      </c>
      <c r="J60" s="5" t="str">
        <f>"000077"</f>
        <v>000077</v>
      </c>
      <c r="K60" s="4">
        <v>43432</v>
      </c>
      <c r="L60" s="5" t="str">
        <f>"000188"</f>
        <v>000188</v>
      </c>
      <c r="M60" s="4">
        <v>43432</v>
      </c>
      <c r="N60" s="5">
        <v>18</v>
      </c>
      <c r="O60" s="5" t="str">
        <f>"008082"</f>
        <v>008082</v>
      </c>
      <c r="P60" s="4">
        <v>43451</v>
      </c>
      <c r="Q60" s="7">
        <v>14.95593</v>
      </c>
      <c r="R60" s="7">
        <v>1.7606299999999999</v>
      </c>
      <c r="S60" s="7">
        <v>13.1953</v>
      </c>
      <c r="T60" s="5">
        <v>296</v>
      </c>
      <c r="U60" s="4">
        <v>43453</v>
      </c>
      <c r="V60" s="5">
        <v>9480828222</v>
      </c>
      <c r="W60" s="6" t="s">
        <v>210</v>
      </c>
      <c r="X60" s="5" t="s">
        <v>57</v>
      </c>
      <c r="Y60" s="6" t="s">
        <v>56</v>
      </c>
      <c r="Z60" s="5" t="s">
        <v>76</v>
      </c>
      <c r="AA60" s="6" t="s">
        <v>77</v>
      </c>
      <c r="AB60" s="7">
        <f>Q60/100</f>
        <v>0.14955930000000001</v>
      </c>
      <c r="AD60" s="8"/>
      <c r="AF60" s="8"/>
      <c r="AG60" s="8"/>
    </row>
    <row r="61" spans="1:33" x14ac:dyDescent="0.2">
      <c r="A61" s="12">
        <v>8085</v>
      </c>
      <c r="B61" s="13" t="s">
        <v>41</v>
      </c>
      <c r="C61" s="13">
        <v>43461</v>
      </c>
      <c r="D61" s="5">
        <v>84</v>
      </c>
      <c r="E61" s="6" t="s">
        <v>79</v>
      </c>
      <c r="F61" s="5" t="s">
        <v>213</v>
      </c>
      <c r="G61" s="6" t="s">
        <v>214</v>
      </c>
      <c r="H61" s="5" t="str">
        <f>"000180"</f>
        <v>000180</v>
      </c>
      <c r="I61" s="4">
        <v>43431</v>
      </c>
      <c r="J61" s="5" t="str">
        <f>"000075"</f>
        <v>000075</v>
      </c>
      <c r="K61" s="4">
        <v>43432</v>
      </c>
      <c r="L61" s="5" t="str">
        <f>"000186"</f>
        <v>000186</v>
      </c>
      <c r="M61" s="4">
        <v>43432</v>
      </c>
      <c r="N61" s="5">
        <v>18</v>
      </c>
      <c r="O61" s="5" t="str">
        <f>"008231"</f>
        <v>008231</v>
      </c>
      <c r="P61" s="4">
        <v>43456</v>
      </c>
      <c r="Q61" s="7">
        <v>9.9837299999999995</v>
      </c>
      <c r="R61" s="7">
        <v>1.0345800000000001</v>
      </c>
      <c r="S61" s="7">
        <v>8.9491499999999995</v>
      </c>
      <c r="T61" s="5">
        <v>305</v>
      </c>
      <c r="U61" s="4">
        <v>43461</v>
      </c>
      <c r="V61" s="5">
        <v>9480828222</v>
      </c>
      <c r="W61" s="6" t="s">
        <v>210</v>
      </c>
      <c r="X61" s="5" t="s">
        <v>65</v>
      </c>
      <c r="Y61" s="6" t="s">
        <v>64</v>
      </c>
      <c r="Z61" s="5" t="s">
        <v>76</v>
      </c>
      <c r="AA61" s="6" t="s">
        <v>77</v>
      </c>
      <c r="AB61" s="7">
        <f>Q61/100</f>
        <v>9.983729999999999E-2</v>
      </c>
      <c r="AD61" s="8"/>
      <c r="AF61" s="8"/>
      <c r="AG6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2019-01-14T14:07:59Z</dcterms:modified>
</cp:coreProperties>
</file>