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esktop\2018-19 H1\1st April 2018 to 30th Sep 2018 BR Jobcode Tender WBB For ICMYC\BR 198\"/>
    </mc:Choice>
  </mc:AlternateContent>
  <bookViews>
    <workbookView xWindow="0" yWindow="0" windowWidth="1536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63" i="1" l="1"/>
  <c r="O63" i="1"/>
  <c r="L63" i="1"/>
  <c r="J63" i="1"/>
  <c r="H63" i="1"/>
  <c r="AB62" i="1"/>
  <c r="O62" i="1"/>
  <c r="L62" i="1"/>
  <c r="J62" i="1"/>
  <c r="H62" i="1"/>
  <c r="AB61" i="1"/>
  <c r="O61" i="1"/>
  <c r="L61" i="1"/>
  <c r="J61" i="1"/>
  <c r="H61" i="1"/>
  <c r="AB60" i="1"/>
  <c r="O60" i="1"/>
  <c r="L60" i="1"/>
  <c r="J60" i="1"/>
  <c r="H60" i="1"/>
  <c r="AB59" i="1"/>
  <c r="O59" i="1"/>
  <c r="L59" i="1"/>
  <c r="J59" i="1"/>
  <c r="H59" i="1"/>
  <c r="AB58" i="1"/>
  <c r="O58" i="1"/>
  <c r="L58" i="1"/>
  <c r="J58" i="1"/>
  <c r="H58" i="1"/>
  <c r="AB57" i="1"/>
  <c r="O57" i="1"/>
  <c r="L57" i="1"/>
  <c r="J57" i="1"/>
  <c r="H57" i="1"/>
  <c r="AB56" i="1"/>
  <c r="O56" i="1"/>
  <c r="L56" i="1"/>
  <c r="J56" i="1"/>
  <c r="H56" i="1"/>
  <c r="AB55" i="1"/>
  <c r="O55" i="1"/>
  <c r="L55" i="1"/>
  <c r="J55" i="1"/>
  <c r="H55" i="1"/>
  <c r="AB54" i="1"/>
  <c r="O54" i="1"/>
  <c r="L54" i="1"/>
  <c r="J54" i="1"/>
  <c r="H54" i="1"/>
  <c r="AB53" i="1"/>
  <c r="O53" i="1"/>
  <c r="L53" i="1"/>
  <c r="J53" i="1"/>
  <c r="H53" i="1"/>
  <c r="AB52" i="1"/>
  <c r="O52" i="1"/>
  <c r="L52" i="1"/>
  <c r="J52" i="1"/>
  <c r="H52" i="1"/>
  <c r="AB51" i="1"/>
  <c r="O51" i="1"/>
  <c r="L51" i="1"/>
  <c r="J51" i="1"/>
  <c r="H51" i="1"/>
  <c r="AB50" i="1"/>
  <c r="O50" i="1"/>
  <c r="L50" i="1"/>
  <c r="J50" i="1"/>
  <c r="H50" i="1"/>
  <c r="AB49" i="1"/>
  <c r="O49" i="1"/>
  <c r="L49" i="1"/>
  <c r="J49" i="1"/>
  <c r="H49" i="1"/>
  <c r="AB48" i="1"/>
  <c r="O48" i="1"/>
  <c r="L48" i="1"/>
  <c r="J48" i="1"/>
  <c r="H48" i="1"/>
  <c r="AB47" i="1"/>
  <c r="O47" i="1"/>
  <c r="L47" i="1"/>
  <c r="J47" i="1"/>
  <c r="H47" i="1"/>
  <c r="AB46" i="1"/>
  <c r="O46" i="1"/>
  <c r="L46" i="1"/>
  <c r="J46" i="1"/>
  <c r="H46" i="1"/>
  <c r="AB45" i="1"/>
  <c r="O45" i="1"/>
  <c r="L45" i="1"/>
  <c r="J45" i="1"/>
  <c r="H45" i="1"/>
  <c r="O44" i="1"/>
  <c r="L44" i="1"/>
  <c r="J44" i="1"/>
  <c r="H44" i="1"/>
  <c r="O43" i="1"/>
  <c r="L43" i="1"/>
  <c r="J43" i="1"/>
  <c r="H43" i="1"/>
  <c r="O42" i="1"/>
  <c r="L42" i="1"/>
  <c r="J42" i="1"/>
  <c r="H42" i="1"/>
  <c r="O41" i="1"/>
  <c r="L41" i="1"/>
  <c r="J41" i="1"/>
  <c r="H41" i="1"/>
  <c r="O40" i="1"/>
  <c r="L40" i="1"/>
  <c r="J40" i="1"/>
  <c r="H40" i="1"/>
  <c r="O39" i="1"/>
  <c r="L39" i="1"/>
  <c r="J39" i="1"/>
  <c r="H39" i="1"/>
  <c r="O38" i="1"/>
  <c r="L38" i="1"/>
  <c r="J38" i="1"/>
  <c r="H38" i="1"/>
  <c r="O37" i="1"/>
  <c r="L37" i="1"/>
  <c r="J37" i="1"/>
  <c r="H37" i="1"/>
  <c r="O36" i="1"/>
  <c r="L36" i="1"/>
  <c r="J36" i="1"/>
  <c r="H36" i="1"/>
  <c r="O35" i="1"/>
  <c r="L35" i="1"/>
  <c r="J35" i="1"/>
  <c r="H35" i="1"/>
  <c r="O34" i="1"/>
  <c r="L34" i="1"/>
  <c r="J34" i="1"/>
  <c r="H34" i="1"/>
  <c r="O33" i="1"/>
  <c r="L33" i="1"/>
  <c r="J33" i="1"/>
  <c r="H33" i="1"/>
  <c r="O32" i="1"/>
  <c r="L32" i="1"/>
  <c r="J32" i="1"/>
  <c r="H32" i="1"/>
  <c r="O31" i="1"/>
  <c r="L31" i="1"/>
  <c r="J31" i="1"/>
  <c r="H31" i="1"/>
  <c r="O30" i="1"/>
  <c r="L30" i="1"/>
  <c r="J30" i="1"/>
  <c r="H30" i="1"/>
  <c r="O29" i="1"/>
  <c r="L29" i="1"/>
  <c r="J29" i="1"/>
  <c r="H29" i="1"/>
  <c r="O28" i="1"/>
  <c r="L28" i="1"/>
  <c r="J28" i="1"/>
  <c r="H28" i="1"/>
  <c r="O27" i="1"/>
  <c r="L27" i="1"/>
  <c r="J27" i="1"/>
  <c r="H27" i="1"/>
  <c r="O26" i="1"/>
  <c r="L26" i="1"/>
  <c r="J26" i="1"/>
  <c r="H26" i="1"/>
  <c r="O25" i="1"/>
  <c r="L25" i="1"/>
  <c r="J25" i="1"/>
  <c r="H25" i="1"/>
  <c r="O24" i="1"/>
  <c r="L24" i="1"/>
  <c r="J24" i="1"/>
  <c r="H24" i="1"/>
  <c r="O23" i="1"/>
  <c r="L23" i="1"/>
  <c r="J23" i="1"/>
  <c r="H23" i="1"/>
  <c r="O22" i="1"/>
  <c r="L22" i="1"/>
  <c r="J22" i="1"/>
  <c r="H22" i="1"/>
  <c r="O21" i="1"/>
  <c r="L21" i="1"/>
  <c r="J21" i="1"/>
  <c r="H21" i="1"/>
  <c r="O20" i="1"/>
  <c r="L20" i="1"/>
  <c r="J20" i="1"/>
  <c r="H20" i="1"/>
  <c r="O19" i="1"/>
  <c r="L19" i="1"/>
  <c r="J19" i="1"/>
  <c r="H19" i="1"/>
  <c r="O18" i="1"/>
  <c r="L18" i="1"/>
  <c r="J18" i="1"/>
  <c r="H18" i="1"/>
  <c r="O17" i="1"/>
  <c r="L17" i="1"/>
  <c r="J17" i="1"/>
  <c r="H17" i="1"/>
  <c r="O16" i="1"/>
  <c r="L16" i="1"/>
  <c r="J16" i="1"/>
  <c r="H16" i="1"/>
  <c r="O15" i="1"/>
  <c r="L15" i="1"/>
  <c r="J15" i="1"/>
  <c r="H15" i="1"/>
  <c r="O14" i="1"/>
  <c r="L14" i="1"/>
  <c r="J14" i="1"/>
  <c r="H14" i="1"/>
  <c r="O13" i="1"/>
  <c r="L13" i="1"/>
  <c r="J13" i="1"/>
  <c r="H13" i="1"/>
  <c r="O12" i="1"/>
  <c r="L12" i="1"/>
  <c r="J12" i="1"/>
  <c r="H12" i="1"/>
  <c r="O11" i="1"/>
  <c r="L11" i="1"/>
  <c r="J11" i="1"/>
  <c r="H11" i="1"/>
  <c r="O10" i="1"/>
  <c r="L10" i="1"/>
  <c r="J10" i="1"/>
  <c r="H10" i="1"/>
  <c r="O9" i="1"/>
  <c r="L9" i="1"/>
  <c r="J9" i="1"/>
  <c r="H9" i="1"/>
  <c r="O8" i="1"/>
  <c r="L8" i="1"/>
  <c r="J8" i="1"/>
  <c r="H8" i="1"/>
  <c r="O7" i="1"/>
  <c r="L7" i="1"/>
  <c r="J7" i="1"/>
  <c r="H7" i="1"/>
  <c r="O6" i="1"/>
  <c r="L6" i="1"/>
  <c r="J6" i="1"/>
  <c r="H6" i="1"/>
  <c r="O5" i="1"/>
  <c r="L5" i="1"/>
  <c r="J5" i="1"/>
  <c r="H5" i="1"/>
  <c r="O4" i="1"/>
  <c r="L4" i="1"/>
  <c r="J4" i="1"/>
  <c r="H4" i="1"/>
  <c r="O3" i="1"/>
  <c r="L3" i="1"/>
  <c r="J3" i="1"/>
  <c r="H3" i="1"/>
  <c r="O2" i="1"/>
  <c r="L2" i="1"/>
  <c r="J2" i="1"/>
  <c r="H2" i="1"/>
</calcChain>
</file>

<file path=xl/sharedStrings.xml><?xml version="1.0" encoding="utf-8"?>
<sst xmlns="http://schemas.openxmlformats.org/spreadsheetml/2006/main" count="586" uniqueCount="194">
  <si>
    <t>SL No</t>
  </si>
  <si>
    <t>Month</t>
  </si>
  <si>
    <t>Date</t>
  </si>
  <si>
    <t>Ward_No</t>
  </si>
  <si>
    <t>Ward_Name</t>
  </si>
  <si>
    <t>Job_Code</t>
  </si>
  <si>
    <t>Job_Description</t>
  </si>
  <si>
    <t>Work_ Order</t>
  </si>
  <si>
    <t>Work_Order_Date</t>
  </si>
  <si>
    <t>Sub Bill Register_No</t>
  </si>
  <si>
    <t>Sub Bill Register_Date</t>
  </si>
  <si>
    <t>Bill Register No</t>
  </si>
  <si>
    <t>Bill Register Date</t>
  </si>
  <si>
    <t>Job Code Year</t>
  </si>
  <si>
    <t>CBR_No</t>
  </si>
  <si>
    <t>CBR_Date</t>
  </si>
  <si>
    <t>Gross_ Amount In Lakhs</t>
  </si>
  <si>
    <t>Deduction In Lakhs</t>
  </si>
  <si>
    <t>Nett_ Amount In Lakhs</t>
  </si>
  <si>
    <t>RTGS_No</t>
  </si>
  <si>
    <t>RTGS_Date</t>
  </si>
  <si>
    <t>Contractor Number</t>
  </si>
  <si>
    <t>Contractor_Name</t>
  </si>
  <si>
    <t>P_Code</t>
  </si>
  <si>
    <t>Budget_Head</t>
  </si>
  <si>
    <t>Budget_ Head_ID</t>
  </si>
  <si>
    <t>Engineer Details</t>
  </si>
  <si>
    <t>Gross_ Amount In Cr</t>
  </si>
  <si>
    <t>P3158</t>
  </si>
  <si>
    <t>SIP Infrastructure Project works</t>
  </si>
  <si>
    <t>August</t>
  </si>
  <si>
    <t>P1771</t>
  </si>
  <si>
    <t>Zone Works - POW Works</t>
  </si>
  <si>
    <t>July</t>
  </si>
  <si>
    <t>P0300</t>
  </si>
  <si>
    <t>M and R to Street Lights - Replacement of Burnt Bulbs etc. (Package)</t>
  </si>
  <si>
    <t>June</t>
  </si>
  <si>
    <t>May</t>
  </si>
  <si>
    <t>September</t>
  </si>
  <si>
    <t>P3110</t>
  </si>
  <si>
    <t>14th Finance Commission Grant Works</t>
  </si>
  <si>
    <t>December</t>
  </si>
  <si>
    <t>October</t>
  </si>
  <si>
    <t xml:space="preserve"> Assistant Executive Engineer Electrical West Zone</t>
  </si>
  <si>
    <t>ddo209</t>
  </si>
  <si>
    <t>State Finance Commission Untied Grant Works</t>
  </si>
  <si>
    <t>P3111</t>
  </si>
  <si>
    <t>April</t>
  </si>
  <si>
    <t>18per - Works (Bhagyajyothi, Sooru / Neeru Yojane and General) (54 Lakhs / New Wards)</t>
  </si>
  <si>
    <t>P1878</t>
  </si>
  <si>
    <t>KRIDL</t>
  </si>
  <si>
    <t>Works sanctioned by Hon Mayor</t>
  </si>
  <si>
    <t>P0190</t>
  </si>
  <si>
    <t>Executive Engineer KRIDL</t>
  </si>
  <si>
    <t>Chethan Electricals</t>
  </si>
  <si>
    <t>P0303</t>
  </si>
  <si>
    <t>M and R to Pumpsets, Lifts, DG Sets, Wireless sets and Internal Telephone Exchange</t>
  </si>
  <si>
    <t>P2019</t>
  </si>
  <si>
    <t>Major Road / Arterial / Sub Arterial Road Major Road Division</t>
  </si>
  <si>
    <t>P0294</t>
  </si>
  <si>
    <t>M and R to Electrical Inst in BMP Buildings, Schools, M.Homes, Community Halls, Markets and Others</t>
  </si>
  <si>
    <t>P2434</t>
  </si>
  <si>
    <t>Development works for Bangalore City</t>
  </si>
  <si>
    <t>P0541</t>
  </si>
  <si>
    <t>Emergency Reserve Fund</t>
  </si>
  <si>
    <t>Sri Sai Electricals</t>
  </si>
  <si>
    <t>ddo202</t>
  </si>
  <si>
    <t xml:space="preserve"> Assistant Executive Engineer Gandinagar West Zone</t>
  </si>
  <si>
    <t>B N Naveen Kumar</t>
  </si>
  <si>
    <t>Technical Manager KRIDL West</t>
  </si>
  <si>
    <t xml:space="preserve"> Assistant Executive Engineer Gandhinagar West Zone</t>
  </si>
  <si>
    <t>Technical Manager  (West) Karnataka Rural Infrastructure Development Limited</t>
  </si>
  <si>
    <t>P0298</t>
  </si>
  <si>
    <t>M and R to Electrical Installations in Parks and Gardens, Playgrounds, Burial Grounds</t>
  </si>
  <si>
    <t>Gandhi Nagara</t>
  </si>
  <si>
    <t>094-16-000018</t>
  </si>
  <si>
    <t>Supplying of Electric poles and equipments in ward no 94.</t>
  </si>
  <si>
    <t>Ms SRI SAI ASSOCIATES</t>
  </si>
  <si>
    <t>094-15-000032</t>
  </si>
  <si>
    <t xml:space="preserve">Providing asphalting concrete to N.S Layengar street Badaganadu Sanga road and cross roads in ward No 94 </t>
  </si>
  <si>
    <t>094-15-000031</t>
  </si>
  <si>
    <t xml:space="preserve">Providing Asphalting concrete to jain temple road and cross roads in ward No 94 </t>
  </si>
  <si>
    <t>094-14-000017</t>
  </si>
  <si>
    <t xml:space="preserve">Providing asphalting concrete at Subramanya swamy temple road In Ward-94 </t>
  </si>
  <si>
    <t>094-15-000033</t>
  </si>
  <si>
    <t xml:space="preserve">Providing CC to Kapali Galli and surrounding and asphalting to Y. Ramachandra road from S.C Road to 3rd main road in ward No 94 </t>
  </si>
  <si>
    <t>094-14-000018</t>
  </si>
  <si>
    <t xml:space="preserve">Providing asphalting concrete at reservior street and other cross road In Ward-94 </t>
  </si>
  <si>
    <t>094-14-000019</t>
  </si>
  <si>
    <t xml:space="preserve">Providing Asphalting concrete to at Serepentine road and cross roads in In Ward-94 </t>
  </si>
  <si>
    <t>094-15-000034</t>
  </si>
  <si>
    <t xml:space="preserve">Providing asphalting concrete to main road and cross roads of Neharunagar in ward No 94 </t>
  </si>
  <si>
    <t>094-14-000005</t>
  </si>
  <si>
    <t>Maintenance of BBMP election store room at Dr TCM royan road in ward no 94</t>
  </si>
  <si>
    <t>K M Raghavendra</t>
  </si>
  <si>
    <t>094-16-000060</t>
  </si>
  <si>
    <t>Improvements to roads and drainage at ST colony in Leprosy colony in ward no-94</t>
  </si>
  <si>
    <t>094-16-000059</t>
  </si>
  <si>
    <t>Improvements to roads and drainage SC in old saver lane in ward no-94</t>
  </si>
  <si>
    <t>094-15-000008</t>
  </si>
  <si>
    <t xml:space="preserve">Depot Collection For the Year 2014-15 In Ward-94 </t>
  </si>
  <si>
    <t xml:space="preserve">Suresh N </t>
  </si>
  <si>
    <t>094-16-000014</t>
  </si>
  <si>
    <t>Providing the Cement Concrete road to Lakshmanpuri in ward no 94.</t>
  </si>
  <si>
    <t>094-16-000008</t>
  </si>
  <si>
    <t>Improvements to footpath at link roadin ward no 94.</t>
  </si>
  <si>
    <t>094-16-000015</t>
  </si>
  <si>
    <t>Providing the Cement Concrete road to V.V.Giri Colony in ward no 94.</t>
  </si>
  <si>
    <t>094-16-000010</t>
  </si>
  <si>
    <t>Improvements to Subhasnagar(Kempegowda) Bus Stop Subway and Railway Station Subway in ward no 94.</t>
  </si>
  <si>
    <t xml:space="preserve">Raghu Ramakrishna (Sapphire Construction) </t>
  </si>
  <si>
    <t>094-14-000003</t>
  </si>
  <si>
    <t>Emergency works in ward no 94(impts to drain and shoulder drains at R. street and surrounding in ward No 94)</t>
  </si>
  <si>
    <t>Suresh N</t>
  </si>
  <si>
    <t>Arun Devaraj</t>
  </si>
  <si>
    <t>094-14-000053</t>
  </si>
  <si>
    <t>Providing New Drain for diversion of storm water at S C Road near Risaldar Street in ward no 94</t>
  </si>
  <si>
    <t>314-12-000038</t>
  </si>
  <si>
    <t>Annual Street light maintenance at ward no 94 Package-W14</t>
  </si>
  <si>
    <t>Sri Gayathri Electricals</t>
  </si>
  <si>
    <t>094-16-000050</t>
  </si>
  <si>
    <t>Providing footpath, drains and culverts at Nehrunagar cross roads and main roads in ward no 94</t>
  </si>
  <si>
    <t>094-16-000051</t>
  </si>
  <si>
    <t>Improvements to footpath drain and culverts at Gandhinagar cross roads in ward no 94</t>
  </si>
  <si>
    <t>094-16-000052</t>
  </si>
  <si>
    <t>Improvements to footpath drain at 6th cross roads and 7th cross and Kapaligali in ward no 94</t>
  </si>
  <si>
    <t>094-16-000053</t>
  </si>
  <si>
    <t>Improvements to footpath and drain in surroundings areas at Lakshmi Temple Kumara park west in ward no 94</t>
  </si>
  <si>
    <t>094-16-000054</t>
  </si>
  <si>
    <t>Improvements to footpath and drain in surroundings areas to Upper pipeline Kumara park west in ward no 94</t>
  </si>
  <si>
    <t>094-16-000055</t>
  </si>
  <si>
    <t>Improvements to drains and providing CC road culverts to killari road and surroundings in ward no 94</t>
  </si>
  <si>
    <t>094-16-000041</t>
  </si>
  <si>
    <t>Removal of silt in V V Giri Colony and Nehrunagar in Gandhinagar in ward no 94</t>
  </si>
  <si>
    <t>P0598</t>
  </si>
  <si>
    <t>Desilting of Tertiary drains</t>
  </si>
  <si>
    <t>094-16-000006</t>
  </si>
  <si>
    <t>Improvements to bad culverts at Gandhinagara and Sheshadripuram area in ward no 94.</t>
  </si>
  <si>
    <t>094-12-000035</t>
  </si>
  <si>
    <t>Providing and laying of cement concrete road in between 1st and 2nd main of sheshadripuram in ward no-94</t>
  </si>
  <si>
    <t>094-13-000017</t>
  </si>
  <si>
    <t>Providing Electrical maintenance to Freedom park in ward no 94</t>
  </si>
  <si>
    <t>094-16-000009</t>
  </si>
  <si>
    <t>Improvements to M.L.A Office in ward no 94</t>
  </si>
  <si>
    <t>Raghu Ramakrishna</t>
  </si>
  <si>
    <t>094-16-000007</t>
  </si>
  <si>
    <t>Improvements to Corporators Office in ward no 94.</t>
  </si>
  <si>
    <t>094-16-000031</t>
  </si>
  <si>
    <t>AMC of Lift No 1 in Shiva Complex Tank bund Road in ward No 94</t>
  </si>
  <si>
    <t>094-13-000015</t>
  </si>
  <si>
    <t>Providing Electrical maintenance of Shiva Complex at Gandhinagara in Ward No-94</t>
  </si>
  <si>
    <t>Chetan Electricals</t>
  </si>
  <si>
    <t>094-16-000016</t>
  </si>
  <si>
    <t>Supply of Tractor and Labours to remove the silt and historical debris at Khilar Road and surrounding area in ward no 94.</t>
  </si>
  <si>
    <t>S T Umesh</t>
  </si>
  <si>
    <t>094-16-000003</t>
  </si>
  <si>
    <t>Emergency Grants in ward no 94.</t>
  </si>
  <si>
    <t>094-16-000005</t>
  </si>
  <si>
    <t>Filling up of pot holes in Sheshadripuram surrounding area in ward no 94.</t>
  </si>
  <si>
    <t>094-16-000004</t>
  </si>
  <si>
    <t>Filling up of pot holes in Khilari Road and surrounding area in ward no 94.</t>
  </si>
  <si>
    <t>094-16-000017</t>
  </si>
  <si>
    <t>Supply of Tractor and Labours to remove the silt and historical debris at Sheshadripuram and surrounding area in ward no 94.</t>
  </si>
  <si>
    <t>094-17-000017</t>
  </si>
  <si>
    <t>Depot collection In Ward-94</t>
  </si>
  <si>
    <t>Saphire Construction</t>
  </si>
  <si>
    <t>094-17-000033</t>
  </si>
  <si>
    <t xml:space="preserve">Providing and fixing of LED Street lights  in Ward No 94  in Gandhinagar Division </t>
  </si>
  <si>
    <t>094-13-000007</t>
  </si>
  <si>
    <t>Emergency fund in W-94.</t>
  </si>
  <si>
    <t>Kushal Shetty A</t>
  </si>
  <si>
    <t xml:space="preserve">Sudhidra D S </t>
  </si>
  <si>
    <t xml:space="preserve">Sudhindra D S </t>
  </si>
  <si>
    <t>094-18-000054</t>
  </si>
  <si>
    <t xml:space="preserve">Providing Asphalting and Improvements to Drain Culverts and Footpath to 1st Main Road to Link Road in Ward No.94.  </t>
  </si>
  <si>
    <t>094-17-000019</t>
  </si>
  <si>
    <t>Improvements to Risaldar colony and surrounding areas in ward no-94</t>
  </si>
  <si>
    <t>Aishwarya Infrastrucure and Developers</t>
  </si>
  <si>
    <t>094-17-000029</t>
  </si>
  <si>
    <t>Providing CC road to main road of lakshmanipuri colony  In Ward-94</t>
  </si>
  <si>
    <t>094-17-000025</t>
  </si>
  <si>
    <t>Providing B S slab for conservancy lane in KK lane and surrounding areas  In Ward-94</t>
  </si>
  <si>
    <t>094-17-000030</t>
  </si>
  <si>
    <t>Improvements to old savar line and surrounding areas  In Ward-94</t>
  </si>
  <si>
    <t>094-17-000024</t>
  </si>
  <si>
    <t>Improvements to K K Lane In Ward-94</t>
  </si>
  <si>
    <t>094-17-000026</t>
  </si>
  <si>
    <t>Improvements to Lakshmanipuri colony In Ward-94</t>
  </si>
  <si>
    <t>094-17-000028</t>
  </si>
  <si>
    <t>Improvements to tulsi thota 2nd cross and park road surrounding areas  In Ward-94</t>
  </si>
  <si>
    <t>094-18-000006</t>
  </si>
  <si>
    <t>Improvements  works of MLA Bhavan in ward no 94.</t>
  </si>
  <si>
    <t>094-17-000023</t>
  </si>
  <si>
    <t>Improvements to V V giri colony  In Ward-94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</si>
</sst>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5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2" fontId="2" fillId="0" borderId="1" xfId="0" applyNumberFormat="1" applyFont="1" applyBorder="1" applyAlignment="1">
      <alignment horizontal="right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1" fontId="2" fillId="0" borderId="1" xfId="0" applyNumberFormat="1" applyFont="1" applyBorder="1" applyAlignment="1">
      <alignment horizontal="left" vertical="center"/>
    </xf>
    <xf numFmtId="15" fontId="2" fillId="0" borderId="1" xfId="0" applyNumberFormat="1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63"/>
  <sheetViews>
    <sheetView tabSelected="1" workbookViewId="0">
      <selection activeCell="A2" sqref="A2:XFD63"/>
    </sheetView>
  </sheetViews>
  <sheetFormatPr defaultRowHeight="12.75" x14ac:dyDescent="0.2"/>
  <cols>
    <col min="1" max="1" width="5.42578125" style="9" bestFit="1" customWidth="1"/>
    <col min="2" max="2" width="9.140625" style="9"/>
    <col min="3" max="3" width="9.5703125" style="9" bestFit="1" customWidth="1"/>
    <col min="4" max="4" width="9.140625" style="9"/>
    <col min="5" max="8" width="9.140625" style="10"/>
    <col min="9" max="9" width="9.140625" style="9"/>
    <col min="10" max="10" width="9.140625" style="8"/>
    <col min="11" max="20" width="9.140625" style="9"/>
    <col min="21" max="23" width="9.140625" style="11"/>
    <col min="24" max="26" width="9.140625" style="9"/>
    <col min="27" max="27" width="9.140625" style="8"/>
    <col min="28" max="28" width="9.140625" style="9"/>
    <col min="29" max="29" width="9.140625" style="8"/>
    <col min="30" max="30" width="9.140625" style="9"/>
    <col min="31" max="31" width="9.140625" style="8"/>
    <col min="32" max="33" width="9.140625" style="9"/>
    <col min="34" max="16384" width="9.140625" style="8"/>
  </cols>
  <sheetData>
    <row r="1" spans="1:33" s="3" customFormat="1" ht="26.2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1" t="s">
        <v>14</v>
      </c>
      <c r="P1" s="1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1" t="s">
        <v>20</v>
      </c>
      <c r="V1" s="2" t="s">
        <v>21</v>
      </c>
      <c r="W1" s="1" t="s">
        <v>22</v>
      </c>
      <c r="X1" s="1" t="s">
        <v>23</v>
      </c>
      <c r="Y1" s="1" t="s">
        <v>24</v>
      </c>
      <c r="Z1" s="2" t="s">
        <v>25</v>
      </c>
      <c r="AA1" s="1" t="s">
        <v>26</v>
      </c>
      <c r="AB1" s="2" t="s">
        <v>27</v>
      </c>
    </row>
    <row r="2" spans="1:33" x14ac:dyDescent="0.2">
      <c r="A2" s="12">
        <v>396</v>
      </c>
      <c r="B2" s="13" t="s">
        <v>47</v>
      </c>
      <c r="C2" s="13">
        <v>43200</v>
      </c>
      <c r="D2" s="5">
        <v>94</v>
      </c>
      <c r="E2" s="6" t="s">
        <v>74</v>
      </c>
      <c r="F2" s="5" t="s">
        <v>75</v>
      </c>
      <c r="G2" s="6" t="s">
        <v>76</v>
      </c>
      <c r="H2" s="5" t="str">
        <f>"000044"</f>
        <v>000044</v>
      </c>
      <c r="I2" s="4">
        <v>42636</v>
      </c>
      <c r="J2" s="5" t="str">
        <f>"000092"</f>
        <v>000092</v>
      </c>
      <c r="K2" s="4">
        <v>42726</v>
      </c>
      <c r="L2" s="5" t="str">
        <f>"000197"</f>
        <v>000197</v>
      </c>
      <c r="M2" s="4">
        <v>42726</v>
      </c>
      <c r="N2" s="5">
        <v>16</v>
      </c>
      <c r="O2" s="5" t="str">
        <f>"000408"</f>
        <v>000408</v>
      </c>
      <c r="P2" s="4">
        <v>43197</v>
      </c>
      <c r="Q2" s="7">
        <v>6.6509400000000003</v>
      </c>
      <c r="R2" s="7">
        <v>0.83801999999999999</v>
      </c>
      <c r="S2" s="7">
        <v>5.8129200000000001</v>
      </c>
      <c r="T2" s="5">
        <v>10</v>
      </c>
      <c r="U2" s="4">
        <v>43200</v>
      </c>
      <c r="V2" s="5">
        <v>9916699909</v>
      </c>
      <c r="W2" s="6" t="s">
        <v>77</v>
      </c>
      <c r="X2" s="5" t="s">
        <v>31</v>
      </c>
      <c r="Y2" s="6" t="s">
        <v>32</v>
      </c>
      <c r="Z2" s="5" t="s">
        <v>44</v>
      </c>
      <c r="AA2" s="6" t="s">
        <v>43</v>
      </c>
      <c r="AB2" s="7">
        <v>6.6509399999999996E-2</v>
      </c>
      <c r="AD2" s="8"/>
      <c r="AF2" s="8"/>
      <c r="AG2" s="8"/>
    </row>
    <row r="3" spans="1:33" x14ac:dyDescent="0.2">
      <c r="A3" s="12">
        <v>624</v>
      </c>
      <c r="B3" s="13" t="s">
        <v>47</v>
      </c>
      <c r="C3" s="13">
        <v>43214</v>
      </c>
      <c r="D3" s="5">
        <v>94</v>
      </c>
      <c r="E3" s="6" t="s">
        <v>74</v>
      </c>
      <c r="F3" s="5" t="s">
        <v>78</v>
      </c>
      <c r="G3" s="6" t="s">
        <v>79</v>
      </c>
      <c r="H3" s="5" t="str">
        <f>"00071"</f>
        <v>00071</v>
      </c>
      <c r="I3" s="4">
        <v>43191</v>
      </c>
      <c r="J3" s="5" t="str">
        <f>"000310"</f>
        <v>000310</v>
      </c>
      <c r="K3" s="4">
        <v>42581</v>
      </c>
      <c r="L3" s="5" t="str">
        <f>"000182"</f>
        <v>000182</v>
      </c>
      <c r="M3" s="4">
        <v>42581</v>
      </c>
      <c r="N3" s="5">
        <v>15</v>
      </c>
      <c r="O3" s="5" t="str">
        <f>"000588"</f>
        <v>000588</v>
      </c>
      <c r="P3" s="4">
        <v>43203</v>
      </c>
      <c r="Q3" s="7">
        <v>54.942860000000003</v>
      </c>
      <c r="R3" s="7">
        <v>7.4844299999999997</v>
      </c>
      <c r="S3" s="7">
        <v>47.45843</v>
      </c>
      <c r="T3" s="5">
        <v>23</v>
      </c>
      <c r="U3" s="4">
        <v>43214</v>
      </c>
      <c r="V3" s="5">
        <v>9483161122</v>
      </c>
      <c r="W3" s="6" t="s">
        <v>69</v>
      </c>
      <c r="X3" s="5" t="s">
        <v>57</v>
      </c>
      <c r="Y3" s="6" t="s">
        <v>58</v>
      </c>
      <c r="Z3" s="5" t="s">
        <v>66</v>
      </c>
      <c r="AA3" s="6" t="s">
        <v>67</v>
      </c>
      <c r="AB3" s="7">
        <v>0.54942860000000004</v>
      </c>
      <c r="AD3" s="8"/>
      <c r="AF3" s="8"/>
      <c r="AG3" s="8"/>
    </row>
    <row r="4" spans="1:33" x14ac:dyDescent="0.2">
      <c r="A4" s="12">
        <v>625</v>
      </c>
      <c r="B4" s="13" t="s">
        <v>47</v>
      </c>
      <c r="C4" s="13">
        <v>43214</v>
      </c>
      <c r="D4" s="5">
        <v>94</v>
      </c>
      <c r="E4" s="6" t="s">
        <v>74</v>
      </c>
      <c r="F4" s="5" t="s">
        <v>80</v>
      </c>
      <c r="G4" s="6" t="s">
        <v>81</v>
      </c>
      <c r="H4" s="5" t="str">
        <f>"00070"</f>
        <v>00070</v>
      </c>
      <c r="I4" s="4">
        <v>43191</v>
      </c>
      <c r="J4" s="5" t="str">
        <f>"000312"</f>
        <v>000312</v>
      </c>
      <c r="K4" s="4">
        <v>42581</v>
      </c>
      <c r="L4" s="5" t="str">
        <f>"000178"</f>
        <v>000178</v>
      </c>
      <c r="M4" s="4">
        <v>42581</v>
      </c>
      <c r="N4" s="5">
        <v>15</v>
      </c>
      <c r="O4" s="5" t="str">
        <f>"000589"</f>
        <v>000589</v>
      </c>
      <c r="P4" s="4">
        <v>43203</v>
      </c>
      <c r="Q4" s="7">
        <v>54.919840000000001</v>
      </c>
      <c r="R4" s="7">
        <v>7.5267900000000001</v>
      </c>
      <c r="S4" s="7">
        <v>47.393050000000002</v>
      </c>
      <c r="T4" s="5">
        <v>23</v>
      </c>
      <c r="U4" s="4">
        <v>43214</v>
      </c>
      <c r="V4" s="5">
        <v>9483161122</v>
      </c>
      <c r="W4" s="6" t="s">
        <v>69</v>
      </c>
      <c r="X4" s="5" t="s">
        <v>57</v>
      </c>
      <c r="Y4" s="6" t="s">
        <v>58</v>
      </c>
      <c r="Z4" s="5" t="s">
        <v>66</v>
      </c>
      <c r="AA4" s="6" t="s">
        <v>67</v>
      </c>
      <c r="AB4" s="7">
        <v>0.54919839999999998</v>
      </c>
      <c r="AD4" s="8"/>
      <c r="AF4" s="8"/>
      <c r="AG4" s="8"/>
    </row>
    <row r="5" spans="1:33" x14ac:dyDescent="0.2">
      <c r="A5" s="12">
        <v>626</v>
      </c>
      <c r="B5" s="13" t="s">
        <v>47</v>
      </c>
      <c r="C5" s="13">
        <v>43214</v>
      </c>
      <c r="D5" s="5">
        <v>94</v>
      </c>
      <c r="E5" s="6" t="s">
        <v>74</v>
      </c>
      <c r="F5" s="5" t="s">
        <v>82</v>
      </c>
      <c r="G5" s="6" t="s">
        <v>83</v>
      </c>
      <c r="H5" s="5" t="str">
        <f>"00073"</f>
        <v>00073</v>
      </c>
      <c r="I5" s="4">
        <v>43191</v>
      </c>
      <c r="J5" s="5" t="str">
        <f>"000313"</f>
        <v>000313</v>
      </c>
      <c r="K5" s="4">
        <v>42581</v>
      </c>
      <c r="L5" s="5" t="str">
        <f>"000179"</f>
        <v>000179</v>
      </c>
      <c r="M5" s="4">
        <v>42581</v>
      </c>
      <c r="N5" s="5">
        <v>14</v>
      </c>
      <c r="O5" s="5" t="str">
        <f>"000590"</f>
        <v>000590</v>
      </c>
      <c r="P5" s="4">
        <v>43203</v>
      </c>
      <c r="Q5" s="7">
        <v>21.960920000000002</v>
      </c>
      <c r="R5" s="7">
        <v>3.0017200000000002</v>
      </c>
      <c r="S5" s="7">
        <v>18.959199999999999</v>
      </c>
      <c r="T5" s="5">
        <v>23</v>
      </c>
      <c r="U5" s="4">
        <v>43214</v>
      </c>
      <c r="V5" s="5">
        <v>9483161122</v>
      </c>
      <c r="W5" s="6" t="s">
        <v>69</v>
      </c>
      <c r="X5" s="5" t="s">
        <v>61</v>
      </c>
      <c r="Y5" s="6" t="s">
        <v>62</v>
      </c>
      <c r="Z5" s="5" t="s">
        <v>66</v>
      </c>
      <c r="AA5" s="6" t="s">
        <v>67</v>
      </c>
      <c r="AB5" s="7">
        <v>0.2196092</v>
      </c>
      <c r="AD5" s="8"/>
      <c r="AF5" s="8"/>
      <c r="AG5" s="8"/>
    </row>
    <row r="6" spans="1:33" x14ac:dyDescent="0.2">
      <c r="A6" s="12">
        <v>627</v>
      </c>
      <c r="B6" s="13" t="s">
        <v>47</v>
      </c>
      <c r="C6" s="13">
        <v>43214</v>
      </c>
      <c r="D6" s="5">
        <v>94</v>
      </c>
      <c r="E6" s="6" t="s">
        <v>74</v>
      </c>
      <c r="F6" s="5" t="s">
        <v>84</v>
      </c>
      <c r="G6" s="6" t="s">
        <v>85</v>
      </c>
      <c r="H6" s="5" t="str">
        <f>"00067"</f>
        <v>00067</v>
      </c>
      <c r="I6" s="4">
        <v>43191</v>
      </c>
      <c r="J6" s="5" t="str">
        <f>"000307"</f>
        <v>000307</v>
      </c>
      <c r="K6" s="4">
        <v>42581</v>
      </c>
      <c r="L6" s="5" t="str">
        <f>"000180"</f>
        <v>000180</v>
      </c>
      <c r="M6" s="4">
        <v>42581</v>
      </c>
      <c r="N6" s="5">
        <v>15</v>
      </c>
      <c r="O6" s="5" t="str">
        <f>"000591"</f>
        <v>000591</v>
      </c>
      <c r="P6" s="4">
        <v>43203</v>
      </c>
      <c r="Q6" s="7">
        <v>54.893689999999999</v>
      </c>
      <c r="R6" s="7">
        <v>7.5269399999999997</v>
      </c>
      <c r="S6" s="7">
        <v>47.366750000000003</v>
      </c>
      <c r="T6" s="5">
        <v>23</v>
      </c>
      <c r="U6" s="4">
        <v>43214</v>
      </c>
      <c r="V6" s="5">
        <v>9483161122</v>
      </c>
      <c r="W6" s="6" t="s">
        <v>69</v>
      </c>
      <c r="X6" s="5" t="s">
        <v>57</v>
      </c>
      <c r="Y6" s="6" t="s">
        <v>58</v>
      </c>
      <c r="Z6" s="5" t="s">
        <v>66</v>
      </c>
      <c r="AA6" s="6" t="s">
        <v>67</v>
      </c>
      <c r="AB6" s="7">
        <v>0.54893689999999995</v>
      </c>
      <c r="AD6" s="8"/>
      <c r="AF6" s="8"/>
      <c r="AG6" s="8"/>
    </row>
    <row r="7" spans="1:33" x14ac:dyDescent="0.2">
      <c r="A7" s="12">
        <v>628</v>
      </c>
      <c r="B7" s="13" t="s">
        <v>47</v>
      </c>
      <c r="C7" s="13">
        <v>43214</v>
      </c>
      <c r="D7" s="5">
        <v>94</v>
      </c>
      <c r="E7" s="6" t="s">
        <v>74</v>
      </c>
      <c r="F7" s="5" t="s">
        <v>86</v>
      </c>
      <c r="G7" s="6" t="s">
        <v>87</v>
      </c>
      <c r="H7" s="5" t="str">
        <f>"00068"</f>
        <v>00068</v>
      </c>
      <c r="I7" s="4">
        <v>43191</v>
      </c>
      <c r="J7" s="5" t="str">
        <f>"000309"</f>
        <v>000309</v>
      </c>
      <c r="K7" s="4">
        <v>42581</v>
      </c>
      <c r="L7" s="5" t="str">
        <f>"000181"</f>
        <v>000181</v>
      </c>
      <c r="M7" s="4">
        <v>42581</v>
      </c>
      <c r="N7" s="5">
        <v>14</v>
      </c>
      <c r="O7" s="5" t="str">
        <f>"000592"</f>
        <v>000592</v>
      </c>
      <c r="P7" s="4">
        <v>43203</v>
      </c>
      <c r="Q7" s="7">
        <v>49.42989</v>
      </c>
      <c r="R7" s="7">
        <v>6.7945099999999998</v>
      </c>
      <c r="S7" s="7">
        <v>42.635379999999998</v>
      </c>
      <c r="T7" s="5">
        <v>23</v>
      </c>
      <c r="U7" s="4">
        <v>43214</v>
      </c>
      <c r="V7" s="5">
        <v>9483161122</v>
      </c>
      <c r="W7" s="6" t="s">
        <v>69</v>
      </c>
      <c r="X7" s="5" t="s">
        <v>61</v>
      </c>
      <c r="Y7" s="6" t="s">
        <v>62</v>
      </c>
      <c r="Z7" s="5" t="s">
        <v>66</v>
      </c>
      <c r="AA7" s="6" t="s">
        <v>67</v>
      </c>
      <c r="AB7" s="7">
        <v>0.49429889999999999</v>
      </c>
      <c r="AD7" s="8"/>
      <c r="AF7" s="8"/>
      <c r="AG7" s="8"/>
    </row>
    <row r="8" spans="1:33" x14ac:dyDescent="0.2">
      <c r="A8" s="12">
        <v>629</v>
      </c>
      <c r="B8" s="13" t="s">
        <v>47</v>
      </c>
      <c r="C8" s="13">
        <v>43214</v>
      </c>
      <c r="D8" s="5">
        <v>94</v>
      </c>
      <c r="E8" s="6" t="s">
        <v>74</v>
      </c>
      <c r="F8" s="5" t="s">
        <v>88</v>
      </c>
      <c r="G8" s="6" t="s">
        <v>89</v>
      </c>
      <c r="H8" s="5" t="str">
        <f>"00069"</f>
        <v>00069</v>
      </c>
      <c r="I8" s="4">
        <v>43191</v>
      </c>
      <c r="J8" s="5" t="str">
        <f>"000311"</f>
        <v>000311</v>
      </c>
      <c r="K8" s="4">
        <v>42581</v>
      </c>
      <c r="L8" s="5" t="str">
        <f>"000183"</f>
        <v>000183</v>
      </c>
      <c r="M8" s="4">
        <v>42581</v>
      </c>
      <c r="N8" s="5">
        <v>14</v>
      </c>
      <c r="O8" s="5" t="str">
        <f>"000593"</f>
        <v>000593</v>
      </c>
      <c r="P8" s="4">
        <v>43203</v>
      </c>
      <c r="Q8" s="7">
        <v>49.451979999999999</v>
      </c>
      <c r="R8" s="7">
        <v>6.8089899999999997</v>
      </c>
      <c r="S8" s="7">
        <v>42.642989999999998</v>
      </c>
      <c r="T8" s="5">
        <v>23</v>
      </c>
      <c r="U8" s="4">
        <v>43214</v>
      </c>
      <c r="V8" s="5">
        <v>9483161122</v>
      </c>
      <c r="W8" s="6" t="s">
        <v>69</v>
      </c>
      <c r="X8" s="5" t="s">
        <v>61</v>
      </c>
      <c r="Y8" s="6" t="s">
        <v>62</v>
      </c>
      <c r="Z8" s="5" t="s">
        <v>66</v>
      </c>
      <c r="AA8" s="6" t="s">
        <v>67</v>
      </c>
      <c r="AB8" s="7">
        <v>0.49451980000000001</v>
      </c>
      <c r="AD8" s="8"/>
      <c r="AF8" s="8"/>
      <c r="AG8" s="8"/>
    </row>
    <row r="9" spans="1:33" x14ac:dyDescent="0.2">
      <c r="A9" s="12">
        <v>630</v>
      </c>
      <c r="B9" s="13" t="s">
        <v>47</v>
      </c>
      <c r="C9" s="13">
        <v>43214</v>
      </c>
      <c r="D9" s="5">
        <v>94</v>
      </c>
      <c r="E9" s="6" t="s">
        <v>74</v>
      </c>
      <c r="F9" s="5" t="s">
        <v>90</v>
      </c>
      <c r="G9" s="6" t="s">
        <v>91</v>
      </c>
      <c r="H9" s="5" t="str">
        <f>"00072"</f>
        <v>00072</v>
      </c>
      <c r="I9" s="4">
        <v>43191</v>
      </c>
      <c r="J9" s="5" t="str">
        <f>"000308"</f>
        <v>000308</v>
      </c>
      <c r="K9" s="4">
        <v>42581</v>
      </c>
      <c r="L9" s="5" t="str">
        <f>"000184"</f>
        <v>000184</v>
      </c>
      <c r="M9" s="4">
        <v>42581</v>
      </c>
      <c r="N9" s="5">
        <v>15</v>
      </c>
      <c r="O9" s="5" t="str">
        <f>"000594"</f>
        <v>000594</v>
      </c>
      <c r="P9" s="4">
        <v>43203</v>
      </c>
      <c r="Q9" s="7">
        <v>54.933979999999998</v>
      </c>
      <c r="R9" s="7">
        <v>7.5353000000000003</v>
      </c>
      <c r="S9" s="7">
        <v>47.398679999999999</v>
      </c>
      <c r="T9" s="5">
        <v>23</v>
      </c>
      <c r="U9" s="4">
        <v>43214</v>
      </c>
      <c r="V9" s="5">
        <v>9483161122</v>
      </c>
      <c r="W9" s="6" t="s">
        <v>69</v>
      </c>
      <c r="X9" s="5" t="s">
        <v>57</v>
      </c>
      <c r="Y9" s="6" t="s">
        <v>58</v>
      </c>
      <c r="Z9" s="5" t="s">
        <v>66</v>
      </c>
      <c r="AA9" s="6" t="s">
        <v>67</v>
      </c>
      <c r="AB9" s="7">
        <v>0.54933979999999993</v>
      </c>
      <c r="AD9" s="8"/>
      <c r="AF9" s="8"/>
      <c r="AG9" s="8"/>
    </row>
    <row r="10" spans="1:33" x14ac:dyDescent="0.2">
      <c r="A10" s="12">
        <v>787</v>
      </c>
      <c r="B10" s="13" t="s">
        <v>47</v>
      </c>
      <c r="C10" s="13">
        <v>43217</v>
      </c>
      <c r="D10" s="5">
        <v>94</v>
      </c>
      <c r="E10" s="6" t="s">
        <v>74</v>
      </c>
      <c r="F10" s="5" t="s">
        <v>92</v>
      </c>
      <c r="G10" s="6" t="s">
        <v>93</v>
      </c>
      <c r="H10" s="5" t="str">
        <f>"000039"</f>
        <v>000039</v>
      </c>
      <c r="I10" s="4">
        <v>43109</v>
      </c>
      <c r="J10" s="5" t="str">
        <f>"000267"</f>
        <v>000267</v>
      </c>
      <c r="K10" s="4">
        <v>42457</v>
      </c>
      <c r="L10" s="5" t="str">
        <f>"000456"</f>
        <v>000456</v>
      </c>
      <c r="M10" s="4">
        <v>42457</v>
      </c>
      <c r="N10" s="5">
        <v>14</v>
      </c>
      <c r="O10" s="5" t="str">
        <f>"000505"</f>
        <v>000505</v>
      </c>
      <c r="P10" s="4">
        <v>43202</v>
      </c>
      <c r="Q10" s="7">
        <v>9.3109199999999994</v>
      </c>
      <c r="R10" s="7">
        <v>1.22235</v>
      </c>
      <c r="S10" s="7">
        <v>8.0885700000000007</v>
      </c>
      <c r="T10" s="5">
        <v>30</v>
      </c>
      <c r="U10" s="4">
        <v>43217</v>
      </c>
      <c r="V10" s="5">
        <v>9448076805</v>
      </c>
      <c r="W10" s="6" t="s">
        <v>94</v>
      </c>
      <c r="X10" s="5" t="s">
        <v>31</v>
      </c>
      <c r="Y10" s="6" t="s">
        <v>32</v>
      </c>
      <c r="Z10" s="5" t="s">
        <v>66</v>
      </c>
      <c r="AA10" s="6" t="s">
        <v>67</v>
      </c>
      <c r="AB10" s="7">
        <v>9.3109199999999989E-2</v>
      </c>
      <c r="AD10" s="8"/>
      <c r="AF10" s="8"/>
      <c r="AG10" s="8"/>
    </row>
    <row r="11" spans="1:33" x14ac:dyDescent="0.2">
      <c r="A11" s="12">
        <v>891</v>
      </c>
      <c r="B11" s="13" t="s">
        <v>37</v>
      </c>
      <c r="C11" s="13">
        <v>43228</v>
      </c>
      <c r="D11" s="5">
        <v>94</v>
      </c>
      <c r="E11" s="6" t="s">
        <v>74</v>
      </c>
      <c r="F11" s="5" t="s">
        <v>95</v>
      </c>
      <c r="G11" s="6" t="s">
        <v>96</v>
      </c>
      <c r="H11" s="5" t="str">
        <f>"000002"</f>
        <v>000002</v>
      </c>
      <c r="I11" s="4">
        <v>43195</v>
      </c>
      <c r="J11" s="5" t="str">
        <f>"000002"</f>
        <v>000002</v>
      </c>
      <c r="K11" s="4">
        <v>43195</v>
      </c>
      <c r="L11" s="5" t="str">
        <f>"000002"</f>
        <v>000002</v>
      </c>
      <c r="M11" s="4">
        <v>43195</v>
      </c>
      <c r="N11" s="5">
        <v>16</v>
      </c>
      <c r="O11" s="5" t="str">
        <f>"001065"</f>
        <v>001065</v>
      </c>
      <c r="P11" s="4">
        <v>43224</v>
      </c>
      <c r="Q11" s="7">
        <v>1.2069700000000001</v>
      </c>
      <c r="R11" s="7">
        <v>9.7750000000000004E-2</v>
      </c>
      <c r="S11" s="7">
        <v>1.1092200000000001</v>
      </c>
      <c r="T11" s="5">
        <v>42</v>
      </c>
      <c r="U11" s="4">
        <v>43228</v>
      </c>
      <c r="V11" s="5">
        <v>9483161122</v>
      </c>
      <c r="W11" s="6" t="s">
        <v>69</v>
      </c>
      <c r="X11" s="5" t="s">
        <v>49</v>
      </c>
      <c r="Y11" s="6" t="s">
        <v>48</v>
      </c>
      <c r="Z11" s="5" t="s">
        <v>66</v>
      </c>
      <c r="AA11" s="6" t="s">
        <v>67</v>
      </c>
      <c r="AB11" s="7">
        <v>1.2069700000000001E-2</v>
      </c>
      <c r="AD11" s="8"/>
      <c r="AF11" s="8"/>
      <c r="AG11" s="8"/>
    </row>
    <row r="12" spans="1:33" x14ac:dyDescent="0.2">
      <c r="A12" s="12">
        <v>892</v>
      </c>
      <c r="B12" s="13" t="s">
        <v>37</v>
      </c>
      <c r="C12" s="13">
        <v>43228</v>
      </c>
      <c r="D12" s="5">
        <v>94</v>
      </c>
      <c r="E12" s="6" t="s">
        <v>74</v>
      </c>
      <c r="F12" s="5" t="s">
        <v>97</v>
      </c>
      <c r="G12" s="6" t="s">
        <v>98</v>
      </c>
      <c r="H12" s="5" t="str">
        <f>"000001"</f>
        <v>000001</v>
      </c>
      <c r="I12" s="4">
        <v>43195</v>
      </c>
      <c r="J12" s="5" t="str">
        <f>"000001"</f>
        <v>000001</v>
      </c>
      <c r="K12" s="4">
        <v>43195</v>
      </c>
      <c r="L12" s="5" t="str">
        <f>"000001"</f>
        <v>000001</v>
      </c>
      <c r="M12" s="4">
        <v>43195</v>
      </c>
      <c r="N12" s="5">
        <v>16</v>
      </c>
      <c r="O12" s="5" t="str">
        <f>"001067"</f>
        <v>001067</v>
      </c>
      <c r="P12" s="4">
        <v>43224</v>
      </c>
      <c r="Q12" s="7">
        <v>11.703290000000001</v>
      </c>
      <c r="R12" s="7">
        <v>1.1375</v>
      </c>
      <c r="S12" s="7">
        <v>10.56579</v>
      </c>
      <c r="T12" s="5">
        <v>42</v>
      </c>
      <c r="U12" s="4">
        <v>43228</v>
      </c>
      <c r="V12" s="5">
        <v>9483161122</v>
      </c>
      <c r="W12" s="6" t="s">
        <v>69</v>
      </c>
      <c r="X12" s="5" t="s">
        <v>49</v>
      </c>
      <c r="Y12" s="6" t="s">
        <v>48</v>
      </c>
      <c r="Z12" s="5" t="s">
        <v>66</v>
      </c>
      <c r="AA12" s="6" t="s">
        <v>67</v>
      </c>
      <c r="AB12" s="7">
        <v>0.11703290000000001</v>
      </c>
      <c r="AD12" s="8"/>
      <c r="AF12" s="8"/>
      <c r="AG12" s="8"/>
    </row>
    <row r="13" spans="1:33" x14ac:dyDescent="0.2">
      <c r="A13" s="12">
        <v>1123</v>
      </c>
      <c r="B13" s="13" t="s">
        <v>37</v>
      </c>
      <c r="C13" s="13">
        <v>43230</v>
      </c>
      <c r="D13" s="5">
        <v>94</v>
      </c>
      <c r="E13" s="6" t="s">
        <v>74</v>
      </c>
      <c r="F13" s="5" t="s">
        <v>99</v>
      </c>
      <c r="G13" s="6" t="s">
        <v>100</v>
      </c>
      <c r="H13" s="5" t="str">
        <f>"000159"</f>
        <v>000159</v>
      </c>
      <c r="I13" s="4">
        <v>42042</v>
      </c>
      <c r="J13" s="5" t="str">
        <f>"000200"</f>
        <v>000200</v>
      </c>
      <c r="K13" s="4">
        <v>42755</v>
      </c>
      <c r="L13" s="5" t="str">
        <f>"000475"</f>
        <v>000475</v>
      </c>
      <c r="M13" s="4">
        <v>42755</v>
      </c>
      <c r="N13" s="5">
        <v>15</v>
      </c>
      <c r="O13" s="5" t="str">
        <f>"001210"</f>
        <v>001210</v>
      </c>
      <c r="P13" s="4">
        <v>43228</v>
      </c>
      <c r="Q13" s="7">
        <v>4.8826000000000001</v>
      </c>
      <c r="R13" s="7">
        <v>0.65093999999999996</v>
      </c>
      <c r="S13" s="7">
        <v>4.2316599999999998</v>
      </c>
      <c r="T13" s="5">
        <v>48</v>
      </c>
      <c r="U13" s="4">
        <v>43230</v>
      </c>
      <c r="V13" s="5">
        <v>1234567890</v>
      </c>
      <c r="W13" s="6" t="s">
        <v>101</v>
      </c>
      <c r="X13" s="5" t="s">
        <v>31</v>
      </c>
      <c r="Y13" s="6" t="s">
        <v>32</v>
      </c>
      <c r="Z13" s="5" t="s">
        <v>66</v>
      </c>
      <c r="AA13" s="6" t="s">
        <v>67</v>
      </c>
      <c r="AB13" s="7">
        <v>4.8826000000000001E-2</v>
      </c>
      <c r="AD13" s="8"/>
      <c r="AF13" s="8"/>
      <c r="AG13" s="8"/>
    </row>
    <row r="14" spans="1:33" x14ac:dyDescent="0.2">
      <c r="A14" s="12">
        <v>1208</v>
      </c>
      <c r="B14" s="13" t="s">
        <v>37</v>
      </c>
      <c r="C14" s="13">
        <v>43238</v>
      </c>
      <c r="D14" s="5">
        <v>94</v>
      </c>
      <c r="E14" s="6" t="s">
        <v>74</v>
      </c>
      <c r="F14" s="5" t="s">
        <v>102</v>
      </c>
      <c r="G14" s="6" t="s">
        <v>103</v>
      </c>
      <c r="H14" s="5" t="str">
        <f>"000142"</f>
        <v>000142</v>
      </c>
      <c r="I14" s="4">
        <v>42430</v>
      </c>
      <c r="J14" s="5" t="str">
        <f>"000098"</f>
        <v>000098</v>
      </c>
      <c r="K14" s="4">
        <v>42612</v>
      </c>
      <c r="L14" s="5" t="str">
        <f>"000244"</f>
        <v>000244</v>
      </c>
      <c r="M14" s="4">
        <v>42612</v>
      </c>
      <c r="N14" s="5">
        <v>16</v>
      </c>
      <c r="O14" s="5" t="str">
        <f>"001432"</f>
        <v>001432</v>
      </c>
      <c r="P14" s="4">
        <v>43236</v>
      </c>
      <c r="Q14" s="7">
        <v>8.9179700000000004</v>
      </c>
      <c r="R14" s="7">
        <v>1.07717</v>
      </c>
      <c r="S14" s="7">
        <v>7.8407999999999998</v>
      </c>
      <c r="T14" s="5">
        <v>52</v>
      </c>
      <c r="U14" s="4">
        <v>43238</v>
      </c>
      <c r="V14" s="5">
        <v>9480087461</v>
      </c>
      <c r="W14" s="6" t="s">
        <v>68</v>
      </c>
      <c r="X14" s="5" t="s">
        <v>31</v>
      </c>
      <c r="Y14" s="6" t="s">
        <v>32</v>
      </c>
      <c r="Z14" s="5" t="s">
        <v>66</v>
      </c>
      <c r="AA14" s="6" t="s">
        <v>67</v>
      </c>
      <c r="AB14" s="7">
        <v>8.9179700000000001E-2</v>
      </c>
      <c r="AD14" s="8"/>
      <c r="AF14" s="8"/>
      <c r="AG14" s="8"/>
    </row>
    <row r="15" spans="1:33" x14ac:dyDescent="0.2">
      <c r="A15" s="12">
        <v>1209</v>
      </c>
      <c r="B15" s="13" t="s">
        <v>37</v>
      </c>
      <c r="C15" s="13">
        <v>43238</v>
      </c>
      <c r="D15" s="5">
        <v>94</v>
      </c>
      <c r="E15" s="6" t="s">
        <v>74</v>
      </c>
      <c r="F15" s="5" t="s">
        <v>104</v>
      </c>
      <c r="G15" s="6" t="s">
        <v>105</v>
      </c>
      <c r="H15" s="5" t="str">
        <f>"000140"</f>
        <v>000140</v>
      </c>
      <c r="I15" s="4">
        <v>42432</v>
      </c>
      <c r="J15" s="5" t="str">
        <f>"000096"</f>
        <v>000096</v>
      </c>
      <c r="K15" s="4">
        <v>42612</v>
      </c>
      <c r="L15" s="5" t="str">
        <f>"000245"</f>
        <v>000245</v>
      </c>
      <c r="M15" s="4">
        <v>42612</v>
      </c>
      <c r="N15" s="5">
        <v>16</v>
      </c>
      <c r="O15" s="5" t="str">
        <f>"001433"</f>
        <v>001433</v>
      </c>
      <c r="P15" s="4">
        <v>43236</v>
      </c>
      <c r="Q15" s="7">
        <v>8.9914699999999996</v>
      </c>
      <c r="R15" s="7">
        <v>0.64063000000000003</v>
      </c>
      <c r="S15" s="7">
        <v>8.3508399999999998</v>
      </c>
      <c r="T15" s="5">
        <v>52</v>
      </c>
      <c r="U15" s="4">
        <v>43238</v>
      </c>
      <c r="V15" s="5">
        <v>9480087461</v>
      </c>
      <c r="W15" s="6" t="s">
        <v>68</v>
      </c>
      <c r="X15" s="5" t="s">
        <v>31</v>
      </c>
      <c r="Y15" s="6" t="s">
        <v>32</v>
      </c>
      <c r="Z15" s="5" t="s">
        <v>66</v>
      </c>
      <c r="AA15" s="6" t="s">
        <v>67</v>
      </c>
      <c r="AB15" s="7">
        <v>8.99147E-2</v>
      </c>
      <c r="AD15" s="8"/>
      <c r="AF15" s="8"/>
      <c r="AG15" s="8"/>
    </row>
    <row r="16" spans="1:33" x14ac:dyDescent="0.2">
      <c r="A16" s="12">
        <v>1210</v>
      </c>
      <c r="B16" s="13" t="s">
        <v>37</v>
      </c>
      <c r="C16" s="13">
        <v>43238</v>
      </c>
      <c r="D16" s="5">
        <v>94</v>
      </c>
      <c r="E16" s="6" t="s">
        <v>74</v>
      </c>
      <c r="F16" s="5" t="s">
        <v>106</v>
      </c>
      <c r="G16" s="6" t="s">
        <v>107</v>
      </c>
      <c r="H16" s="5" t="str">
        <f>"000141"</f>
        <v>000141</v>
      </c>
      <c r="I16" s="4">
        <v>42432</v>
      </c>
      <c r="J16" s="5" t="str">
        <f>"000097"</f>
        <v>000097</v>
      </c>
      <c r="K16" s="4">
        <v>42612</v>
      </c>
      <c r="L16" s="5" t="str">
        <f>"000246"</f>
        <v>000246</v>
      </c>
      <c r="M16" s="4">
        <v>42612</v>
      </c>
      <c r="N16" s="5">
        <v>16</v>
      </c>
      <c r="O16" s="5" t="str">
        <f>"001437"</f>
        <v>001437</v>
      </c>
      <c r="P16" s="4">
        <v>43236</v>
      </c>
      <c r="Q16" s="7">
        <v>8.9056099999999994</v>
      </c>
      <c r="R16" s="7">
        <v>1.0965199999999999</v>
      </c>
      <c r="S16" s="7">
        <v>7.8090900000000003</v>
      </c>
      <c r="T16" s="5">
        <v>52</v>
      </c>
      <c r="U16" s="4">
        <v>43238</v>
      </c>
      <c r="V16" s="5">
        <v>9480087461</v>
      </c>
      <c r="W16" s="6" t="s">
        <v>68</v>
      </c>
      <c r="X16" s="5" t="s">
        <v>31</v>
      </c>
      <c r="Y16" s="6" t="s">
        <v>32</v>
      </c>
      <c r="Z16" s="5" t="s">
        <v>66</v>
      </c>
      <c r="AA16" s="6" t="s">
        <v>67</v>
      </c>
      <c r="AB16" s="7">
        <v>8.9056099999999999E-2</v>
      </c>
      <c r="AD16" s="8"/>
      <c r="AF16" s="8"/>
      <c r="AG16" s="8"/>
    </row>
    <row r="17" spans="1:33" x14ac:dyDescent="0.2">
      <c r="A17" s="12">
        <v>1211</v>
      </c>
      <c r="B17" s="13" t="s">
        <v>37</v>
      </c>
      <c r="C17" s="13">
        <v>43238</v>
      </c>
      <c r="D17" s="5">
        <v>94</v>
      </c>
      <c r="E17" s="6" t="s">
        <v>74</v>
      </c>
      <c r="F17" s="5" t="s">
        <v>108</v>
      </c>
      <c r="G17" s="6" t="s">
        <v>109</v>
      </c>
      <c r="H17" s="5" t="str">
        <f>"000055"</f>
        <v>000055</v>
      </c>
      <c r="I17" s="4">
        <v>42539</v>
      </c>
      <c r="J17" s="5" t="str">
        <f>"000109"</f>
        <v>000109</v>
      </c>
      <c r="K17" s="4">
        <v>42613</v>
      </c>
      <c r="L17" s="5" t="str">
        <f>"000264"</f>
        <v>000264</v>
      </c>
      <c r="M17" s="4">
        <v>42613</v>
      </c>
      <c r="N17" s="5">
        <v>16</v>
      </c>
      <c r="O17" s="5" t="str">
        <f>"001496"</f>
        <v>001496</v>
      </c>
      <c r="P17" s="4">
        <v>43236</v>
      </c>
      <c r="Q17" s="7">
        <v>4.99444</v>
      </c>
      <c r="R17" s="7">
        <v>0.40056000000000003</v>
      </c>
      <c r="S17" s="7">
        <v>4.5938800000000004</v>
      </c>
      <c r="T17" s="5">
        <v>52</v>
      </c>
      <c r="U17" s="4">
        <v>43238</v>
      </c>
      <c r="V17" s="5">
        <v>9900226616</v>
      </c>
      <c r="W17" s="6" t="s">
        <v>110</v>
      </c>
      <c r="X17" s="5" t="s">
        <v>31</v>
      </c>
      <c r="Y17" s="6" t="s">
        <v>32</v>
      </c>
      <c r="Z17" s="5" t="s">
        <v>66</v>
      </c>
      <c r="AA17" s="6" t="s">
        <v>67</v>
      </c>
      <c r="AB17" s="7">
        <v>4.99444E-2</v>
      </c>
      <c r="AD17" s="8"/>
      <c r="AF17" s="8"/>
      <c r="AG17" s="8"/>
    </row>
    <row r="18" spans="1:33" x14ac:dyDescent="0.2">
      <c r="A18" s="12">
        <v>1825</v>
      </c>
      <c r="B18" s="13" t="s">
        <v>36</v>
      </c>
      <c r="C18" s="13">
        <v>43257</v>
      </c>
      <c r="D18" s="5">
        <v>94</v>
      </c>
      <c r="E18" s="6" t="s">
        <v>74</v>
      </c>
      <c r="F18" s="5" t="s">
        <v>111</v>
      </c>
      <c r="G18" s="6" t="s">
        <v>112</v>
      </c>
      <c r="H18" s="5" t="str">
        <f>"000124"</f>
        <v>000124</v>
      </c>
      <c r="I18" s="4">
        <v>42461</v>
      </c>
      <c r="J18" s="5" t="str">
        <f>"00.0.1"</f>
        <v>00.0.1</v>
      </c>
      <c r="K18" s="4">
        <v>42183</v>
      </c>
      <c r="L18" s="5" t="str">
        <f>"000182"</f>
        <v>000182</v>
      </c>
      <c r="M18" s="4">
        <v>42183</v>
      </c>
      <c r="N18" s="5">
        <v>14</v>
      </c>
      <c r="O18" s="5" t="str">
        <f>"003714"</f>
        <v>003714</v>
      </c>
      <c r="P18" s="4">
        <v>42926</v>
      </c>
      <c r="Q18" s="7">
        <v>1.5567200000000001</v>
      </c>
      <c r="R18" s="7">
        <v>0.18826000000000001</v>
      </c>
      <c r="S18" s="7">
        <v>1.36846</v>
      </c>
      <c r="T18" s="5">
        <v>71</v>
      </c>
      <c r="U18" s="4">
        <v>43257</v>
      </c>
      <c r="V18" s="5">
        <v>9845551498</v>
      </c>
      <c r="W18" s="6" t="s">
        <v>113</v>
      </c>
      <c r="X18" s="5" t="s">
        <v>31</v>
      </c>
      <c r="Y18" s="6" t="s">
        <v>32</v>
      </c>
      <c r="Z18" s="5" t="s">
        <v>66</v>
      </c>
      <c r="AA18" s="6" t="s">
        <v>67</v>
      </c>
      <c r="AB18" s="7">
        <v>1.5567200000000002E-2</v>
      </c>
      <c r="AD18" s="8"/>
      <c r="AF18" s="8"/>
      <c r="AG18" s="8"/>
    </row>
    <row r="19" spans="1:33" x14ac:dyDescent="0.2">
      <c r="A19" s="12">
        <v>1826</v>
      </c>
      <c r="B19" s="13" t="s">
        <v>36</v>
      </c>
      <c r="C19" s="13">
        <v>43257</v>
      </c>
      <c r="D19" s="5">
        <v>94</v>
      </c>
      <c r="E19" s="6" t="s">
        <v>74</v>
      </c>
      <c r="F19" s="5" t="s">
        <v>111</v>
      </c>
      <c r="G19" s="6" t="s">
        <v>112</v>
      </c>
      <c r="H19" s="5" t="str">
        <f>"000124"</f>
        <v>000124</v>
      </c>
      <c r="I19" s="4">
        <v>42461</v>
      </c>
      <c r="J19" s="5" t="str">
        <f>"00.0.1"</f>
        <v>00.0.1</v>
      </c>
      <c r="K19" s="4">
        <v>42183</v>
      </c>
      <c r="L19" s="5" t="str">
        <f>"000182"</f>
        <v>000182</v>
      </c>
      <c r="M19" s="4">
        <v>42183</v>
      </c>
      <c r="N19" s="5">
        <v>14</v>
      </c>
      <c r="O19" s="5" t="str">
        <f>"003714"</f>
        <v>003714</v>
      </c>
      <c r="P19" s="4">
        <v>42926</v>
      </c>
      <c r="Q19" s="7">
        <v>2.0778300000000001</v>
      </c>
      <c r="R19" s="7">
        <v>0.25124999999999997</v>
      </c>
      <c r="S19" s="7">
        <v>1.8265800000000001</v>
      </c>
      <c r="T19" s="5">
        <v>71</v>
      </c>
      <c r="U19" s="4">
        <v>43257</v>
      </c>
      <c r="V19" s="5">
        <v>9845551498</v>
      </c>
      <c r="W19" s="6" t="s">
        <v>113</v>
      </c>
      <c r="X19" s="5" t="s">
        <v>31</v>
      </c>
      <c r="Y19" s="6" t="s">
        <v>32</v>
      </c>
      <c r="Z19" s="5" t="s">
        <v>66</v>
      </c>
      <c r="AA19" s="6" t="s">
        <v>67</v>
      </c>
      <c r="AB19" s="7">
        <v>2.07783E-2</v>
      </c>
      <c r="AD19" s="8"/>
      <c r="AF19" s="8"/>
      <c r="AG19" s="8"/>
    </row>
    <row r="20" spans="1:33" x14ac:dyDescent="0.2">
      <c r="A20" s="12">
        <v>1827</v>
      </c>
      <c r="B20" s="13" t="s">
        <v>36</v>
      </c>
      <c r="C20" s="13">
        <v>43257</v>
      </c>
      <c r="D20" s="5">
        <v>94</v>
      </c>
      <c r="E20" s="6" t="s">
        <v>74</v>
      </c>
      <c r="F20" s="5" t="s">
        <v>111</v>
      </c>
      <c r="G20" s="6" t="s">
        <v>112</v>
      </c>
      <c r="H20" s="5" t="str">
        <f>"000124"</f>
        <v>000124</v>
      </c>
      <c r="I20" s="4">
        <v>42461</v>
      </c>
      <c r="J20" s="5" t="str">
        <f>"00.0.1"</f>
        <v>00.0.1</v>
      </c>
      <c r="K20" s="4">
        <v>42183</v>
      </c>
      <c r="L20" s="5" t="str">
        <f>"000182"</f>
        <v>000182</v>
      </c>
      <c r="M20" s="4">
        <v>42183</v>
      </c>
      <c r="N20" s="5">
        <v>14</v>
      </c>
      <c r="O20" s="5" t="str">
        <f>"003714"</f>
        <v>003714</v>
      </c>
      <c r="P20" s="4">
        <v>42926</v>
      </c>
      <c r="Q20" s="7">
        <v>2.0752299999999999</v>
      </c>
      <c r="R20" s="7">
        <v>0.24947</v>
      </c>
      <c r="S20" s="7">
        <v>1.82576</v>
      </c>
      <c r="T20" s="5">
        <v>71</v>
      </c>
      <c r="U20" s="4">
        <v>43257</v>
      </c>
      <c r="V20" s="5">
        <v>9845551498</v>
      </c>
      <c r="W20" s="6" t="s">
        <v>113</v>
      </c>
      <c r="X20" s="5" t="s">
        <v>31</v>
      </c>
      <c r="Y20" s="6" t="s">
        <v>32</v>
      </c>
      <c r="Z20" s="5" t="s">
        <v>66</v>
      </c>
      <c r="AA20" s="6" t="s">
        <v>67</v>
      </c>
      <c r="AB20" s="7">
        <v>2.0752299999999998E-2</v>
      </c>
      <c r="AD20" s="8"/>
      <c r="AF20" s="8"/>
      <c r="AG20" s="8"/>
    </row>
    <row r="21" spans="1:33" x14ac:dyDescent="0.2">
      <c r="A21" s="12">
        <v>1828</v>
      </c>
      <c r="B21" s="13" t="s">
        <v>36</v>
      </c>
      <c r="C21" s="13">
        <v>43257</v>
      </c>
      <c r="D21" s="5">
        <v>94</v>
      </c>
      <c r="E21" s="6" t="s">
        <v>74</v>
      </c>
      <c r="F21" s="5" t="s">
        <v>111</v>
      </c>
      <c r="G21" s="6" t="s">
        <v>112</v>
      </c>
      <c r="H21" s="5" t="str">
        <f>"000124"</f>
        <v>000124</v>
      </c>
      <c r="I21" s="4">
        <v>42461</v>
      </c>
      <c r="J21" s="5" t="str">
        <f>"00.0.1"</f>
        <v>00.0.1</v>
      </c>
      <c r="K21" s="4">
        <v>42183</v>
      </c>
      <c r="L21" s="5" t="str">
        <f>"000182"</f>
        <v>000182</v>
      </c>
      <c r="M21" s="4">
        <v>42183</v>
      </c>
      <c r="N21" s="5">
        <v>14</v>
      </c>
      <c r="O21" s="5" t="str">
        <f>"003714"</f>
        <v>003714</v>
      </c>
      <c r="P21" s="4">
        <v>42926</v>
      </c>
      <c r="Q21" s="7">
        <v>1.55603</v>
      </c>
      <c r="R21" s="7">
        <v>0.19167999999999999</v>
      </c>
      <c r="S21" s="7">
        <v>1.36435</v>
      </c>
      <c r="T21" s="5">
        <v>71</v>
      </c>
      <c r="U21" s="4">
        <v>43257</v>
      </c>
      <c r="V21" s="5">
        <v>9845551498</v>
      </c>
      <c r="W21" s="6" t="s">
        <v>114</v>
      </c>
      <c r="X21" s="5" t="s">
        <v>31</v>
      </c>
      <c r="Y21" s="6" t="s">
        <v>32</v>
      </c>
      <c r="Z21" s="5" t="s">
        <v>66</v>
      </c>
      <c r="AA21" s="6" t="s">
        <v>67</v>
      </c>
      <c r="AB21" s="7">
        <v>1.5560300000000001E-2</v>
      </c>
      <c r="AD21" s="8"/>
      <c r="AF21" s="8"/>
      <c r="AG21" s="8"/>
    </row>
    <row r="22" spans="1:33" x14ac:dyDescent="0.2">
      <c r="A22" s="12">
        <v>1829</v>
      </c>
      <c r="B22" s="13" t="s">
        <v>36</v>
      </c>
      <c r="C22" s="13">
        <v>43257</v>
      </c>
      <c r="D22" s="5">
        <v>94</v>
      </c>
      <c r="E22" s="6" t="s">
        <v>74</v>
      </c>
      <c r="F22" s="5" t="s">
        <v>111</v>
      </c>
      <c r="G22" s="6" t="s">
        <v>112</v>
      </c>
      <c r="H22" s="5" t="str">
        <f>"000124"</f>
        <v>000124</v>
      </c>
      <c r="I22" s="4">
        <v>42461</v>
      </c>
      <c r="J22" s="5" t="str">
        <f>"00.0.1"</f>
        <v>00.0.1</v>
      </c>
      <c r="K22" s="4">
        <v>42183</v>
      </c>
      <c r="L22" s="5" t="str">
        <f>"000182"</f>
        <v>000182</v>
      </c>
      <c r="M22" s="4">
        <v>42183</v>
      </c>
      <c r="N22" s="5">
        <v>14</v>
      </c>
      <c r="O22" s="5" t="str">
        <f>"003714"</f>
        <v>003714</v>
      </c>
      <c r="P22" s="4">
        <v>42926</v>
      </c>
      <c r="Q22" s="7">
        <v>2.08446</v>
      </c>
      <c r="R22" s="7">
        <v>0.24851999999999999</v>
      </c>
      <c r="S22" s="7">
        <v>1.8359399999999999</v>
      </c>
      <c r="T22" s="5">
        <v>71</v>
      </c>
      <c r="U22" s="4">
        <v>43257</v>
      </c>
      <c r="V22" s="5">
        <v>9845551498</v>
      </c>
      <c r="W22" s="6" t="s">
        <v>114</v>
      </c>
      <c r="X22" s="5" t="s">
        <v>31</v>
      </c>
      <c r="Y22" s="6" t="s">
        <v>32</v>
      </c>
      <c r="Z22" s="5" t="s">
        <v>66</v>
      </c>
      <c r="AA22" s="6" t="s">
        <v>67</v>
      </c>
      <c r="AB22" s="7">
        <v>2.0844600000000001E-2</v>
      </c>
      <c r="AD22" s="8"/>
      <c r="AF22" s="8"/>
      <c r="AG22" s="8"/>
    </row>
    <row r="23" spans="1:33" x14ac:dyDescent="0.2">
      <c r="A23" s="12">
        <v>1830</v>
      </c>
      <c r="B23" s="13" t="s">
        <v>36</v>
      </c>
      <c r="C23" s="13">
        <v>43257</v>
      </c>
      <c r="D23" s="5">
        <v>94</v>
      </c>
      <c r="E23" s="6" t="s">
        <v>74</v>
      </c>
      <c r="F23" s="5" t="s">
        <v>115</v>
      </c>
      <c r="G23" s="6" t="s">
        <v>116</v>
      </c>
      <c r="H23" s="5" t="str">
        <f>"000083"</f>
        <v>000083</v>
      </c>
      <c r="I23" s="4">
        <v>42523</v>
      </c>
      <c r="J23" s="5" t="str">
        <f>"000112"</f>
        <v>000112</v>
      </c>
      <c r="K23" s="4">
        <v>42622</v>
      </c>
      <c r="L23" s="5" t="str">
        <f>"000287"</f>
        <v>000287</v>
      </c>
      <c r="M23" s="4">
        <v>42622</v>
      </c>
      <c r="N23" s="5">
        <v>14</v>
      </c>
      <c r="O23" s="5" t="str">
        <f>"002119"</f>
        <v>002119</v>
      </c>
      <c r="P23" s="4">
        <v>43253</v>
      </c>
      <c r="Q23" s="7">
        <v>39.1462</v>
      </c>
      <c r="R23" s="7">
        <v>5.8703399999999997</v>
      </c>
      <c r="S23" s="7">
        <v>33.275860000000002</v>
      </c>
      <c r="T23" s="5">
        <v>71</v>
      </c>
      <c r="U23" s="4">
        <v>43257</v>
      </c>
      <c r="V23" s="5">
        <v>9483161122</v>
      </c>
      <c r="W23" s="6" t="s">
        <v>69</v>
      </c>
      <c r="X23" s="5" t="s">
        <v>63</v>
      </c>
      <c r="Y23" s="6" t="s">
        <v>64</v>
      </c>
      <c r="Z23" s="5" t="s">
        <v>66</v>
      </c>
      <c r="AA23" s="6" t="s">
        <v>67</v>
      </c>
      <c r="AB23" s="7">
        <v>0.39146199999999998</v>
      </c>
      <c r="AD23" s="8"/>
      <c r="AF23" s="8"/>
      <c r="AG23" s="8"/>
    </row>
    <row r="24" spans="1:33" x14ac:dyDescent="0.2">
      <c r="A24" s="12">
        <v>2328</v>
      </c>
      <c r="B24" s="13" t="s">
        <v>36</v>
      </c>
      <c r="C24" s="13">
        <v>43269</v>
      </c>
      <c r="D24" s="5">
        <v>94</v>
      </c>
      <c r="E24" s="6" t="s">
        <v>74</v>
      </c>
      <c r="F24" s="5" t="s">
        <v>117</v>
      </c>
      <c r="G24" s="6" t="s">
        <v>118</v>
      </c>
      <c r="H24" s="5" t="str">
        <f>"000056"</f>
        <v>000056</v>
      </c>
      <c r="I24" s="4">
        <v>41235</v>
      </c>
      <c r="J24" s="5" t="str">
        <f>"000118"</f>
        <v>000118</v>
      </c>
      <c r="K24" s="4">
        <v>42788</v>
      </c>
      <c r="L24" s="5" t="str">
        <f>"000227"</f>
        <v>000227</v>
      </c>
      <c r="M24" s="4">
        <v>42789</v>
      </c>
      <c r="N24" s="5">
        <v>12</v>
      </c>
      <c r="O24" s="5" t="str">
        <f>"002525"</f>
        <v>002525</v>
      </c>
      <c r="P24" s="4">
        <v>43264</v>
      </c>
      <c r="Q24" s="7">
        <v>4.8987800000000004</v>
      </c>
      <c r="R24" s="7">
        <v>0.75073999999999996</v>
      </c>
      <c r="S24" s="7">
        <v>4.1480399999999999</v>
      </c>
      <c r="T24" s="5">
        <v>91</v>
      </c>
      <c r="U24" s="4">
        <v>43269</v>
      </c>
      <c r="V24" s="5">
        <v>9845036178</v>
      </c>
      <c r="W24" s="6" t="s">
        <v>119</v>
      </c>
      <c r="X24" s="5" t="s">
        <v>34</v>
      </c>
      <c r="Y24" s="6" t="s">
        <v>35</v>
      </c>
      <c r="Z24" s="5" t="s">
        <v>44</v>
      </c>
      <c r="AA24" s="6" t="s">
        <v>43</v>
      </c>
      <c r="AB24" s="7">
        <v>4.8987800000000005E-2</v>
      </c>
      <c r="AD24" s="8"/>
      <c r="AF24" s="8"/>
      <c r="AG24" s="8"/>
    </row>
    <row r="25" spans="1:33" x14ac:dyDescent="0.2">
      <c r="A25" s="12">
        <v>2555</v>
      </c>
      <c r="B25" s="13" t="s">
        <v>36</v>
      </c>
      <c r="C25" s="13">
        <v>43274</v>
      </c>
      <c r="D25" s="5">
        <v>94</v>
      </c>
      <c r="E25" s="6" t="s">
        <v>74</v>
      </c>
      <c r="F25" s="5" t="s">
        <v>120</v>
      </c>
      <c r="G25" s="6" t="s">
        <v>121</v>
      </c>
      <c r="H25" s="5" t="str">
        <f>"000.30"</f>
        <v>000.30</v>
      </c>
      <c r="I25" s="4">
        <v>42515</v>
      </c>
      <c r="J25" s="5" t="str">
        <f>"000304"</f>
        <v>000304</v>
      </c>
      <c r="K25" s="4">
        <v>42671</v>
      </c>
      <c r="L25" s="5" t="str">
        <f>"000411"</f>
        <v>000411</v>
      </c>
      <c r="M25" s="4">
        <v>42671</v>
      </c>
      <c r="N25" s="5">
        <v>16</v>
      </c>
      <c r="O25" s="5" t="str">
        <f>"002872"</f>
        <v>002872</v>
      </c>
      <c r="P25" s="4">
        <v>43273</v>
      </c>
      <c r="Q25" s="7">
        <v>54.972569999999997</v>
      </c>
      <c r="R25" s="7">
        <v>7.4825400000000002</v>
      </c>
      <c r="S25" s="7">
        <v>47.490029999999997</v>
      </c>
      <c r="T25" s="5">
        <v>99</v>
      </c>
      <c r="U25" s="4">
        <v>43274</v>
      </c>
      <c r="V25" s="5">
        <v>9483161122</v>
      </c>
      <c r="W25" s="6" t="s">
        <v>69</v>
      </c>
      <c r="X25" s="5" t="s">
        <v>52</v>
      </c>
      <c r="Y25" s="6" t="s">
        <v>51</v>
      </c>
      <c r="Z25" s="5" t="s">
        <v>66</v>
      </c>
      <c r="AA25" s="6" t="s">
        <v>67</v>
      </c>
      <c r="AB25" s="7">
        <v>0.54972569999999998</v>
      </c>
      <c r="AD25" s="8"/>
      <c r="AF25" s="8"/>
      <c r="AG25" s="8"/>
    </row>
    <row r="26" spans="1:33" x14ac:dyDescent="0.2">
      <c r="A26" s="12">
        <v>2556</v>
      </c>
      <c r="B26" s="13" t="s">
        <v>36</v>
      </c>
      <c r="C26" s="13">
        <v>43274</v>
      </c>
      <c r="D26" s="5">
        <v>94</v>
      </c>
      <c r="E26" s="6" t="s">
        <v>74</v>
      </c>
      <c r="F26" s="5" t="s">
        <v>122</v>
      </c>
      <c r="G26" s="6" t="s">
        <v>123</v>
      </c>
      <c r="H26" s="5" t="str">
        <f>"000.31"</f>
        <v>000.31</v>
      </c>
      <c r="I26" s="4">
        <v>42515</v>
      </c>
      <c r="J26" s="5" t="str">
        <f>"000301"</f>
        <v>000301</v>
      </c>
      <c r="K26" s="4">
        <v>42671</v>
      </c>
      <c r="L26" s="5" t="str">
        <f>"000412"</f>
        <v>000412</v>
      </c>
      <c r="M26" s="4">
        <v>42671</v>
      </c>
      <c r="N26" s="5">
        <v>16</v>
      </c>
      <c r="O26" s="5" t="str">
        <f>"002873"</f>
        <v>002873</v>
      </c>
      <c r="P26" s="4">
        <v>43273</v>
      </c>
      <c r="Q26" s="7">
        <v>54.978209999999997</v>
      </c>
      <c r="R26" s="7">
        <v>7.5269399999999997</v>
      </c>
      <c r="S26" s="7">
        <v>47.451270000000001</v>
      </c>
      <c r="T26" s="5">
        <v>99</v>
      </c>
      <c r="U26" s="4">
        <v>43274</v>
      </c>
      <c r="V26" s="5">
        <v>9483161122</v>
      </c>
      <c r="W26" s="6" t="s">
        <v>69</v>
      </c>
      <c r="X26" s="5" t="s">
        <v>52</v>
      </c>
      <c r="Y26" s="6" t="s">
        <v>51</v>
      </c>
      <c r="Z26" s="5" t="s">
        <v>66</v>
      </c>
      <c r="AA26" s="6" t="s">
        <v>67</v>
      </c>
      <c r="AB26" s="7">
        <v>0.54978209999999994</v>
      </c>
      <c r="AD26" s="8"/>
      <c r="AF26" s="8"/>
      <c r="AG26" s="8"/>
    </row>
    <row r="27" spans="1:33" x14ac:dyDescent="0.2">
      <c r="A27" s="12">
        <v>2557</v>
      </c>
      <c r="B27" s="13" t="s">
        <v>36</v>
      </c>
      <c r="C27" s="13">
        <v>43274</v>
      </c>
      <c r="D27" s="5">
        <v>94</v>
      </c>
      <c r="E27" s="6" t="s">
        <v>74</v>
      </c>
      <c r="F27" s="5" t="s">
        <v>124</v>
      </c>
      <c r="G27" s="6" t="s">
        <v>125</v>
      </c>
      <c r="H27" s="5" t="str">
        <f>"000.32"</f>
        <v>000.32</v>
      </c>
      <c r="I27" s="4">
        <v>42515</v>
      </c>
      <c r="J27" s="5" t="str">
        <f>"000303"</f>
        <v>000303</v>
      </c>
      <c r="K27" s="4">
        <v>42671</v>
      </c>
      <c r="L27" s="5" t="str">
        <f>"000413"</f>
        <v>000413</v>
      </c>
      <c r="M27" s="4">
        <v>42671</v>
      </c>
      <c r="N27" s="5">
        <v>16</v>
      </c>
      <c r="O27" s="5" t="str">
        <f>"002874"</f>
        <v>002874</v>
      </c>
      <c r="P27" s="4">
        <v>43273</v>
      </c>
      <c r="Q27" s="7">
        <v>54.990639999999999</v>
      </c>
      <c r="R27" s="7">
        <v>7.5308299999999999</v>
      </c>
      <c r="S27" s="7">
        <v>47.459809999999997</v>
      </c>
      <c r="T27" s="5">
        <v>99</v>
      </c>
      <c r="U27" s="4">
        <v>43274</v>
      </c>
      <c r="V27" s="5">
        <v>9483161122</v>
      </c>
      <c r="W27" s="6" t="s">
        <v>69</v>
      </c>
      <c r="X27" s="5" t="s">
        <v>52</v>
      </c>
      <c r="Y27" s="6" t="s">
        <v>51</v>
      </c>
      <c r="Z27" s="5" t="s">
        <v>66</v>
      </c>
      <c r="AA27" s="6" t="s">
        <v>67</v>
      </c>
      <c r="AB27" s="7">
        <v>0.54990640000000002</v>
      </c>
      <c r="AD27" s="8"/>
      <c r="AF27" s="8"/>
      <c r="AG27" s="8"/>
    </row>
    <row r="28" spans="1:33" x14ac:dyDescent="0.2">
      <c r="A28" s="12">
        <v>2558</v>
      </c>
      <c r="B28" s="13" t="s">
        <v>36</v>
      </c>
      <c r="C28" s="13">
        <v>43274</v>
      </c>
      <c r="D28" s="5">
        <v>94</v>
      </c>
      <c r="E28" s="6" t="s">
        <v>74</v>
      </c>
      <c r="F28" s="5" t="s">
        <v>126</v>
      </c>
      <c r="G28" s="6" t="s">
        <v>127</v>
      </c>
      <c r="H28" s="5" t="str">
        <f>"000033"</f>
        <v>000033</v>
      </c>
      <c r="I28" s="4">
        <v>42515</v>
      </c>
      <c r="J28" s="5" t="str">
        <f>"000305"</f>
        <v>000305</v>
      </c>
      <c r="K28" s="4">
        <v>42671</v>
      </c>
      <c r="L28" s="5" t="str">
        <f>"000414"</f>
        <v>000414</v>
      </c>
      <c r="M28" s="4">
        <v>42671</v>
      </c>
      <c r="N28" s="5">
        <v>16</v>
      </c>
      <c r="O28" s="5" t="str">
        <f>"002875"</f>
        <v>002875</v>
      </c>
      <c r="P28" s="4">
        <v>43273</v>
      </c>
      <c r="Q28" s="7">
        <v>54.971110000000003</v>
      </c>
      <c r="R28" s="7">
        <v>7.5274400000000004</v>
      </c>
      <c r="S28" s="7">
        <v>47.443669999999997</v>
      </c>
      <c r="T28" s="5">
        <v>99</v>
      </c>
      <c r="U28" s="4">
        <v>43274</v>
      </c>
      <c r="V28" s="5">
        <v>9483161122</v>
      </c>
      <c r="W28" s="6" t="s">
        <v>69</v>
      </c>
      <c r="X28" s="5" t="s">
        <v>52</v>
      </c>
      <c r="Y28" s="6" t="s">
        <v>51</v>
      </c>
      <c r="Z28" s="5" t="s">
        <v>66</v>
      </c>
      <c r="AA28" s="6" t="s">
        <v>67</v>
      </c>
      <c r="AB28" s="7">
        <v>0.54971110000000001</v>
      </c>
      <c r="AD28" s="8"/>
      <c r="AF28" s="8"/>
      <c r="AG28" s="8"/>
    </row>
    <row r="29" spans="1:33" x14ac:dyDescent="0.2">
      <c r="A29" s="12">
        <v>2559</v>
      </c>
      <c r="B29" s="13" t="s">
        <v>36</v>
      </c>
      <c r="C29" s="13">
        <v>43274</v>
      </c>
      <c r="D29" s="5">
        <v>94</v>
      </c>
      <c r="E29" s="6" t="s">
        <v>74</v>
      </c>
      <c r="F29" s="5" t="s">
        <v>128</v>
      </c>
      <c r="G29" s="6" t="s">
        <v>129</v>
      </c>
      <c r="H29" s="5" t="str">
        <f>"000.34"</f>
        <v>000.34</v>
      </c>
      <c r="I29" s="4">
        <v>42515</v>
      </c>
      <c r="J29" s="5" t="str">
        <f>"000302"</f>
        <v>000302</v>
      </c>
      <c r="K29" s="4">
        <v>42825</v>
      </c>
      <c r="L29" s="5" t="str">
        <f>"000415"</f>
        <v>000415</v>
      </c>
      <c r="M29" s="4">
        <v>42671</v>
      </c>
      <c r="N29" s="5">
        <v>16</v>
      </c>
      <c r="O29" s="5" t="str">
        <f>"002876"</f>
        <v>002876</v>
      </c>
      <c r="P29" s="4">
        <v>43273</v>
      </c>
      <c r="Q29" s="7">
        <v>54.986330000000002</v>
      </c>
      <c r="R29" s="7">
        <v>7.4615200000000002</v>
      </c>
      <c r="S29" s="7">
        <v>47.524810000000002</v>
      </c>
      <c r="T29" s="5">
        <v>99</v>
      </c>
      <c r="U29" s="4">
        <v>43274</v>
      </c>
      <c r="V29" s="5">
        <v>9483161122</v>
      </c>
      <c r="W29" s="6" t="s">
        <v>69</v>
      </c>
      <c r="X29" s="5" t="s">
        <v>52</v>
      </c>
      <c r="Y29" s="6" t="s">
        <v>51</v>
      </c>
      <c r="Z29" s="5" t="s">
        <v>66</v>
      </c>
      <c r="AA29" s="6" t="s">
        <v>67</v>
      </c>
      <c r="AB29" s="7">
        <v>0.54986330000000005</v>
      </c>
      <c r="AD29" s="8"/>
      <c r="AF29" s="8"/>
      <c r="AG29" s="8"/>
    </row>
    <row r="30" spans="1:33" x14ac:dyDescent="0.2">
      <c r="A30" s="12">
        <v>2560</v>
      </c>
      <c r="B30" s="13" t="s">
        <v>36</v>
      </c>
      <c r="C30" s="13">
        <v>43274</v>
      </c>
      <c r="D30" s="5">
        <v>94</v>
      </c>
      <c r="E30" s="6" t="s">
        <v>74</v>
      </c>
      <c r="F30" s="5" t="s">
        <v>130</v>
      </c>
      <c r="G30" s="6" t="s">
        <v>131</v>
      </c>
      <c r="H30" s="5" t="str">
        <f>"000.35"</f>
        <v>000.35</v>
      </c>
      <c r="I30" s="4">
        <v>42515</v>
      </c>
      <c r="J30" s="5" t="str">
        <f>"000.01"</f>
        <v>000.01</v>
      </c>
      <c r="K30" s="4">
        <v>42671</v>
      </c>
      <c r="L30" s="5" t="str">
        <f>"000416"</f>
        <v>000416</v>
      </c>
      <c r="M30" s="4">
        <v>42671</v>
      </c>
      <c r="N30" s="5">
        <v>16</v>
      </c>
      <c r="O30" s="5" t="str">
        <f>"002877"</f>
        <v>002877</v>
      </c>
      <c r="P30" s="4">
        <v>43273</v>
      </c>
      <c r="Q30" s="7">
        <v>54.975639999999999</v>
      </c>
      <c r="R30" s="7">
        <v>7.4727600000000001</v>
      </c>
      <c r="S30" s="7">
        <v>47.502879999999998</v>
      </c>
      <c r="T30" s="5">
        <v>99</v>
      </c>
      <c r="U30" s="4">
        <v>43274</v>
      </c>
      <c r="V30" s="5">
        <v>9483161122</v>
      </c>
      <c r="W30" s="6" t="s">
        <v>69</v>
      </c>
      <c r="X30" s="5" t="s">
        <v>52</v>
      </c>
      <c r="Y30" s="6" t="s">
        <v>51</v>
      </c>
      <c r="Z30" s="5" t="s">
        <v>66</v>
      </c>
      <c r="AA30" s="6" t="s">
        <v>67</v>
      </c>
      <c r="AB30" s="7">
        <v>0.54975640000000003</v>
      </c>
      <c r="AD30" s="8"/>
      <c r="AF30" s="8"/>
      <c r="AG30" s="8"/>
    </row>
    <row r="31" spans="1:33" x14ac:dyDescent="0.2">
      <c r="A31" s="12">
        <v>3072</v>
      </c>
      <c r="B31" s="13" t="s">
        <v>33</v>
      </c>
      <c r="C31" s="13">
        <v>43287</v>
      </c>
      <c r="D31" s="5">
        <v>94</v>
      </c>
      <c r="E31" s="6" t="s">
        <v>74</v>
      </c>
      <c r="F31" s="5" t="s">
        <v>132</v>
      </c>
      <c r="G31" s="6" t="s">
        <v>133</v>
      </c>
      <c r="H31" s="5" t="str">
        <f>"000063"</f>
        <v>000063</v>
      </c>
      <c r="I31" s="4">
        <v>42542</v>
      </c>
      <c r="J31" s="5" t="str">
        <f>"129"</f>
        <v>129</v>
      </c>
      <c r="K31" s="4">
        <v>16</v>
      </c>
      <c r="L31" s="5" t="str">
        <f>"000304"</f>
        <v>000304</v>
      </c>
      <c r="M31" s="4">
        <v>42668</v>
      </c>
      <c r="N31" s="5">
        <v>16</v>
      </c>
      <c r="O31" s="5" t="str">
        <f>"003234"</f>
        <v>003234</v>
      </c>
      <c r="P31" s="4">
        <v>43283</v>
      </c>
      <c r="Q31" s="7">
        <v>4.9963600000000001</v>
      </c>
      <c r="R31" s="7">
        <v>0.73250999999999999</v>
      </c>
      <c r="S31" s="7">
        <v>4.2638499999999997</v>
      </c>
      <c r="T31" s="5">
        <v>113</v>
      </c>
      <c r="U31" s="4">
        <v>43287</v>
      </c>
      <c r="V31" s="5">
        <v>9999999999</v>
      </c>
      <c r="W31" s="6" t="s">
        <v>50</v>
      </c>
      <c r="X31" s="5" t="s">
        <v>134</v>
      </c>
      <c r="Y31" s="6" t="s">
        <v>135</v>
      </c>
      <c r="Z31" s="5" t="s">
        <v>66</v>
      </c>
      <c r="AA31" s="6" t="s">
        <v>67</v>
      </c>
      <c r="AB31" s="7">
        <v>4.9963600000000004E-2</v>
      </c>
      <c r="AD31" s="8"/>
      <c r="AF31" s="8"/>
      <c r="AG31" s="8"/>
    </row>
    <row r="32" spans="1:33" x14ac:dyDescent="0.2">
      <c r="A32" s="12">
        <v>3073</v>
      </c>
      <c r="B32" s="13" t="s">
        <v>33</v>
      </c>
      <c r="C32" s="13">
        <v>43287</v>
      </c>
      <c r="D32" s="5">
        <v>94</v>
      </c>
      <c r="E32" s="6" t="s">
        <v>74</v>
      </c>
      <c r="F32" s="5" t="s">
        <v>136</v>
      </c>
      <c r="G32" s="6" t="s">
        <v>137</v>
      </c>
      <c r="H32" s="5" t="str">
        <f>"000127"</f>
        <v>000127</v>
      </c>
      <c r="I32" s="4">
        <v>42426</v>
      </c>
      <c r="J32" s="5" t="str">
        <f>"000180"</f>
        <v>000180</v>
      </c>
      <c r="K32" s="4">
        <v>42699</v>
      </c>
      <c r="L32" s="5" t="str">
        <f>"000432"</f>
        <v>000432</v>
      </c>
      <c r="M32" s="4">
        <v>42699</v>
      </c>
      <c r="N32" s="5">
        <v>16</v>
      </c>
      <c r="O32" s="5" t="str">
        <f>"003240"</f>
        <v>003240</v>
      </c>
      <c r="P32" s="4">
        <v>43283</v>
      </c>
      <c r="Q32" s="7">
        <v>8.9795599999999993</v>
      </c>
      <c r="R32" s="7">
        <v>1.2337199999999999</v>
      </c>
      <c r="S32" s="7">
        <v>7.7458400000000003</v>
      </c>
      <c r="T32" s="5">
        <v>113</v>
      </c>
      <c r="U32" s="4">
        <v>43287</v>
      </c>
      <c r="V32" s="5">
        <v>9480087461</v>
      </c>
      <c r="W32" s="6" t="s">
        <v>68</v>
      </c>
      <c r="X32" s="5" t="s">
        <v>31</v>
      </c>
      <c r="Y32" s="6" t="s">
        <v>32</v>
      </c>
      <c r="Z32" s="5" t="s">
        <v>66</v>
      </c>
      <c r="AA32" s="6" t="s">
        <v>67</v>
      </c>
      <c r="AB32" s="7">
        <v>8.9795599999999989E-2</v>
      </c>
      <c r="AD32" s="8"/>
      <c r="AF32" s="8"/>
      <c r="AG32" s="8"/>
    </row>
    <row r="33" spans="1:33" x14ac:dyDescent="0.2">
      <c r="A33" s="12">
        <v>3074</v>
      </c>
      <c r="B33" s="13" t="s">
        <v>33</v>
      </c>
      <c r="C33" s="13">
        <v>43287</v>
      </c>
      <c r="D33" s="5">
        <v>94</v>
      </c>
      <c r="E33" s="6" t="s">
        <v>74</v>
      </c>
      <c r="F33" s="5" t="s">
        <v>138</v>
      </c>
      <c r="G33" s="6" t="s">
        <v>139</v>
      </c>
      <c r="H33" s="5" t="str">
        <f>"000406"</f>
        <v>000406</v>
      </c>
      <c r="I33" s="4">
        <v>41312</v>
      </c>
      <c r="J33" s="5" t="str">
        <f>"000181"</f>
        <v>000181</v>
      </c>
      <c r="K33" s="4">
        <v>42825</v>
      </c>
      <c r="L33" s="5" t="str">
        <f>"000433"</f>
        <v>000433</v>
      </c>
      <c r="M33" s="4">
        <v>42699</v>
      </c>
      <c r="N33" s="5">
        <v>12</v>
      </c>
      <c r="O33" s="5" t="str">
        <f>"003241"</f>
        <v>003241</v>
      </c>
      <c r="P33" s="4">
        <v>43283</v>
      </c>
      <c r="Q33" s="7">
        <v>16.547789999999999</v>
      </c>
      <c r="R33" s="7">
        <v>2.24213</v>
      </c>
      <c r="S33" s="7">
        <v>14.30566</v>
      </c>
      <c r="T33" s="5">
        <v>113</v>
      </c>
      <c r="U33" s="4">
        <v>43287</v>
      </c>
      <c r="V33" s="5">
        <v>9480087461</v>
      </c>
      <c r="W33" s="6" t="s">
        <v>68</v>
      </c>
      <c r="X33" s="5" t="s">
        <v>31</v>
      </c>
      <c r="Y33" s="6" t="s">
        <v>32</v>
      </c>
      <c r="Z33" s="5" t="s">
        <v>66</v>
      </c>
      <c r="AA33" s="6" t="s">
        <v>67</v>
      </c>
      <c r="AB33" s="7">
        <v>0.16547789999999998</v>
      </c>
      <c r="AD33" s="8"/>
      <c r="AF33" s="8"/>
      <c r="AG33" s="8"/>
    </row>
    <row r="34" spans="1:33" x14ac:dyDescent="0.2">
      <c r="A34" s="12">
        <v>3529</v>
      </c>
      <c r="B34" s="13" t="s">
        <v>33</v>
      </c>
      <c r="C34" s="13">
        <v>43299</v>
      </c>
      <c r="D34" s="5">
        <v>94</v>
      </c>
      <c r="E34" s="6" t="s">
        <v>74</v>
      </c>
      <c r="F34" s="5" t="s">
        <v>140</v>
      </c>
      <c r="G34" s="6" t="s">
        <v>141</v>
      </c>
      <c r="H34" s="5" t="str">
        <f>"000005"</f>
        <v>000005</v>
      </c>
      <c r="I34" s="4">
        <v>41451</v>
      </c>
      <c r="J34" s="5" t="str">
        <f>"000008"</f>
        <v>000008</v>
      </c>
      <c r="K34" s="4">
        <v>42944</v>
      </c>
      <c r="L34" s="5" t="str">
        <f>"000007"</f>
        <v>000007</v>
      </c>
      <c r="M34" s="4">
        <v>42944</v>
      </c>
      <c r="N34" s="5">
        <v>13</v>
      </c>
      <c r="O34" s="5" t="str">
        <f>"003478"</f>
        <v>003478</v>
      </c>
      <c r="P34" s="4">
        <v>43291</v>
      </c>
      <c r="Q34" s="7">
        <v>3.5256799999999999</v>
      </c>
      <c r="R34" s="7">
        <v>0.45535999999999999</v>
      </c>
      <c r="S34" s="7">
        <v>3.0703200000000002</v>
      </c>
      <c r="T34" s="5">
        <v>127</v>
      </c>
      <c r="U34" s="4">
        <v>43299</v>
      </c>
      <c r="V34" s="5">
        <v>9845239239</v>
      </c>
      <c r="W34" s="6" t="s">
        <v>65</v>
      </c>
      <c r="X34" s="5" t="s">
        <v>72</v>
      </c>
      <c r="Y34" s="6" t="s">
        <v>73</v>
      </c>
      <c r="Z34" s="5" t="s">
        <v>44</v>
      </c>
      <c r="AA34" s="6" t="s">
        <v>43</v>
      </c>
      <c r="AB34" s="7">
        <v>3.5256799999999998E-2</v>
      </c>
      <c r="AD34" s="8"/>
      <c r="AF34" s="8"/>
      <c r="AG34" s="8"/>
    </row>
    <row r="35" spans="1:33" x14ac:dyDescent="0.2">
      <c r="A35" s="12">
        <v>3530</v>
      </c>
      <c r="B35" s="13" t="s">
        <v>33</v>
      </c>
      <c r="C35" s="13">
        <v>43299</v>
      </c>
      <c r="D35" s="5">
        <v>94</v>
      </c>
      <c r="E35" s="6" t="s">
        <v>74</v>
      </c>
      <c r="F35" s="5" t="s">
        <v>142</v>
      </c>
      <c r="G35" s="6" t="s">
        <v>143</v>
      </c>
      <c r="H35" s="5" t="str">
        <f>"000053"</f>
        <v>000053</v>
      </c>
      <c r="I35" s="4">
        <v>42539</v>
      </c>
      <c r="J35" s="5" t="str">
        <f>"000230"</f>
        <v>000230</v>
      </c>
      <c r="K35" s="4">
        <v>42818</v>
      </c>
      <c r="L35" s="5" t="str">
        <f>"000530"</f>
        <v>000530</v>
      </c>
      <c r="M35" s="4">
        <v>42818</v>
      </c>
      <c r="N35" s="5">
        <v>16</v>
      </c>
      <c r="O35" s="5" t="str">
        <f>"003769"</f>
        <v>003769</v>
      </c>
      <c r="P35" s="4">
        <v>43294</v>
      </c>
      <c r="Q35" s="7">
        <v>4.9984500000000001</v>
      </c>
      <c r="R35" s="7">
        <v>0.60880000000000001</v>
      </c>
      <c r="S35" s="7">
        <v>4.3896499999999996</v>
      </c>
      <c r="T35" s="5">
        <v>129</v>
      </c>
      <c r="U35" s="4">
        <v>43299</v>
      </c>
      <c r="V35" s="5">
        <v>9900226616</v>
      </c>
      <c r="W35" s="6" t="s">
        <v>144</v>
      </c>
      <c r="X35" s="5" t="s">
        <v>31</v>
      </c>
      <c r="Y35" s="6" t="s">
        <v>32</v>
      </c>
      <c r="Z35" s="5" t="s">
        <v>66</v>
      </c>
      <c r="AA35" s="6" t="s">
        <v>67</v>
      </c>
      <c r="AB35" s="7">
        <v>4.9984500000000001E-2</v>
      </c>
      <c r="AD35" s="8"/>
      <c r="AF35" s="8"/>
      <c r="AG35" s="8"/>
    </row>
    <row r="36" spans="1:33" x14ac:dyDescent="0.2">
      <c r="A36" s="12">
        <v>3531</v>
      </c>
      <c r="B36" s="13" t="s">
        <v>33</v>
      </c>
      <c r="C36" s="13">
        <v>43299</v>
      </c>
      <c r="D36" s="5">
        <v>94</v>
      </c>
      <c r="E36" s="6" t="s">
        <v>74</v>
      </c>
      <c r="F36" s="5" t="s">
        <v>145</v>
      </c>
      <c r="G36" s="6" t="s">
        <v>146</v>
      </c>
      <c r="H36" s="5" t="str">
        <f>"000054"</f>
        <v>000054</v>
      </c>
      <c r="I36" s="4">
        <v>42539</v>
      </c>
      <c r="J36" s="5" t="str">
        <f>"000229"</f>
        <v>000229</v>
      </c>
      <c r="K36" s="4">
        <v>42818</v>
      </c>
      <c r="L36" s="5" t="str">
        <f>"000531"</f>
        <v>000531</v>
      </c>
      <c r="M36" s="4">
        <v>42818</v>
      </c>
      <c r="N36" s="5">
        <v>16</v>
      </c>
      <c r="O36" s="5" t="str">
        <f>"003770"</f>
        <v>003770</v>
      </c>
      <c r="P36" s="4">
        <v>43294</v>
      </c>
      <c r="Q36" s="7">
        <v>4.9931700000000001</v>
      </c>
      <c r="R36" s="7">
        <v>0.58357999999999999</v>
      </c>
      <c r="S36" s="7">
        <v>4.4095899999999997</v>
      </c>
      <c r="T36" s="5">
        <v>129</v>
      </c>
      <c r="U36" s="4">
        <v>43299</v>
      </c>
      <c r="V36" s="5">
        <v>9900226616</v>
      </c>
      <c r="W36" s="6" t="s">
        <v>144</v>
      </c>
      <c r="X36" s="5" t="s">
        <v>31</v>
      </c>
      <c r="Y36" s="6" t="s">
        <v>32</v>
      </c>
      <c r="Z36" s="5" t="s">
        <v>66</v>
      </c>
      <c r="AA36" s="6" t="s">
        <v>67</v>
      </c>
      <c r="AB36" s="7">
        <v>4.9931700000000002E-2</v>
      </c>
      <c r="AD36" s="8"/>
      <c r="AF36" s="8"/>
      <c r="AG36" s="8"/>
    </row>
    <row r="37" spans="1:33" x14ac:dyDescent="0.2">
      <c r="A37" s="12">
        <v>3750</v>
      </c>
      <c r="B37" s="13" t="s">
        <v>33</v>
      </c>
      <c r="C37" s="13">
        <v>43301</v>
      </c>
      <c r="D37" s="5">
        <v>94</v>
      </c>
      <c r="E37" s="6" t="s">
        <v>74</v>
      </c>
      <c r="F37" s="5" t="s">
        <v>147</v>
      </c>
      <c r="G37" s="6" t="s">
        <v>148</v>
      </c>
      <c r="H37" s="5" t="str">
        <f>"000014"</f>
        <v>000014</v>
      </c>
      <c r="I37" s="4">
        <v>42906</v>
      </c>
      <c r="J37" s="5" t="str">
        <f>"000096"</f>
        <v>000096</v>
      </c>
      <c r="K37" s="4">
        <v>43152</v>
      </c>
      <c r="L37" s="5" t="str">
        <f>"000128"</f>
        <v>000128</v>
      </c>
      <c r="M37" s="4">
        <v>43157</v>
      </c>
      <c r="N37" s="5">
        <v>16</v>
      </c>
      <c r="O37" s="5" t="str">
        <f>"003953"</f>
        <v>003953</v>
      </c>
      <c r="P37" s="4">
        <v>43299</v>
      </c>
      <c r="Q37" s="7">
        <v>0.99875000000000003</v>
      </c>
      <c r="R37" s="7">
        <v>0.12087000000000001</v>
      </c>
      <c r="S37" s="7">
        <v>0.87787999999999999</v>
      </c>
      <c r="T37" s="5">
        <v>134</v>
      </c>
      <c r="U37" s="4">
        <v>43301</v>
      </c>
      <c r="V37" s="5">
        <v>9964123000</v>
      </c>
      <c r="W37" s="6" t="s">
        <v>54</v>
      </c>
      <c r="X37" s="5" t="s">
        <v>55</v>
      </c>
      <c r="Y37" s="6" t="s">
        <v>56</v>
      </c>
      <c r="Z37" s="5" t="s">
        <v>44</v>
      </c>
      <c r="AA37" s="6" t="s">
        <v>43</v>
      </c>
      <c r="AB37" s="7">
        <v>9.9874999999999999E-3</v>
      </c>
      <c r="AD37" s="8"/>
      <c r="AF37" s="8"/>
      <c r="AG37" s="8"/>
    </row>
    <row r="38" spans="1:33" x14ac:dyDescent="0.2">
      <c r="A38" s="12">
        <v>4497</v>
      </c>
      <c r="B38" s="13" t="s">
        <v>30</v>
      </c>
      <c r="C38" s="13">
        <v>43318</v>
      </c>
      <c r="D38" s="5">
        <v>94</v>
      </c>
      <c r="E38" s="6" t="s">
        <v>74</v>
      </c>
      <c r="F38" s="5" t="s">
        <v>149</v>
      </c>
      <c r="G38" s="6" t="s">
        <v>150</v>
      </c>
      <c r="H38" s="5" t="str">
        <f>"000014"</f>
        <v>000014</v>
      </c>
      <c r="I38" s="4">
        <v>41548</v>
      </c>
      <c r="J38" s="5" t="str">
        <f>"000006"</f>
        <v>000006</v>
      </c>
      <c r="K38" s="4">
        <v>43197</v>
      </c>
      <c r="L38" s="5" t="str">
        <f>"000006"</f>
        <v>000006</v>
      </c>
      <c r="M38" s="4">
        <v>43197</v>
      </c>
      <c r="N38" s="5">
        <v>13</v>
      </c>
      <c r="O38" s="5" t="str">
        <f>"004602"</f>
        <v>004602</v>
      </c>
      <c r="P38" s="4">
        <v>43313</v>
      </c>
      <c r="Q38" s="7">
        <v>2.9608699999999999</v>
      </c>
      <c r="R38" s="7">
        <v>0.15101000000000001</v>
      </c>
      <c r="S38" s="7">
        <v>2.80986</v>
      </c>
      <c r="T38" s="5">
        <v>157</v>
      </c>
      <c r="U38" s="4">
        <v>43318</v>
      </c>
      <c r="V38" s="5">
        <v>9986319631</v>
      </c>
      <c r="W38" s="6" t="s">
        <v>151</v>
      </c>
      <c r="X38" s="5" t="s">
        <v>59</v>
      </c>
      <c r="Y38" s="6" t="s">
        <v>60</v>
      </c>
      <c r="Z38" s="5" t="s">
        <v>44</v>
      </c>
      <c r="AA38" s="6" t="s">
        <v>43</v>
      </c>
      <c r="AB38" s="7">
        <v>2.9608699999999998E-2</v>
      </c>
      <c r="AD38" s="8"/>
      <c r="AF38" s="8"/>
      <c r="AG38" s="8"/>
    </row>
    <row r="39" spans="1:33" x14ac:dyDescent="0.2">
      <c r="A39" s="12">
        <v>4498</v>
      </c>
      <c r="B39" s="13" t="s">
        <v>30</v>
      </c>
      <c r="C39" s="13">
        <v>43318</v>
      </c>
      <c r="D39" s="5">
        <v>94</v>
      </c>
      <c r="E39" s="6" t="s">
        <v>74</v>
      </c>
      <c r="F39" s="5" t="s">
        <v>152</v>
      </c>
      <c r="G39" s="6" t="s">
        <v>153</v>
      </c>
      <c r="H39" s="5" t="str">
        <f>"00.130"</f>
        <v>00.130</v>
      </c>
      <c r="I39" s="4">
        <v>42678</v>
      </c>
      <c r="J39" s="5" t="str">
        <f>"001.00"</f>
        <v>001.00</v>
      </c>
      <c r="K39" s="4">
        <v>42794</v>
      </c>
      <c r="L39" s="5" t="str">
        <f>"000516"</f>
        <v>000516</v>
      </c>
      <c r="M39" s="4">
        <v>42794</v>
      </c>
      <c r="N39" s="5">
        <v>16</v>
      </c>
      <c r="O39" s="5" t="str">
        <f>"004668"</f>
        <v>004668</v>
      </c>
      <c r="P39" s="4">
        <v>43313</v>
      </c>
      <c r="Q39" s="7">
        <v>4.2243700000000004</v>
      </c>
      <c r="R39" s="7">
        <v>0.47016999999999998</v>
      </c>
      <c r="S39" s="7">
        <v>3.7542</v>
      </c>
      <c r="T39" s="5">
        <v>159</v>
      </c>
      <c r="U39" s="4">
        <v>43318</v>
      </c>
      <c r="V39" s="5">
        <v>9945417770</v>
      </c>
      <c r="W39" s="6" t="s">
        <v>154</v>
      </c>
      <c r="X39" s="5" t="s">
        <v>31</v>
      </c>
      <c r="Y39" s="6" t="s">
        <v>32</v>
      </c>
      <c r="Z39" s="5" t="s">
        <v>66</v>
      </c>
      <c r="AA39" s="6" t="s">
        <v>67</v>
      </c>
      <c r="AB39" s="7">
        <v>4.2243700000000002E-2</v>
      </c>
      <c r="AD39" s="8"/>
      <c r="AF39" s="8"/>
      <c r="AG39" s="8"/>
    </row>
    <row r="40" spans="1:33" x14ac:dyDescent="0.2">
      <c r="A40" s="12">
        <v>4499</v>
      </c>
      <c r="B40" s="13" t="s">
        <v>30</v>
      </c>
      <c r="C40" s="13">
        <v>43318</v>
      </c>
      <c r="D40" s="5">
        <v>94</v>
      </c>
      <c r="E40" s="6" t="s">
        <v>74</v>
      </c>
      <c r="F40" s="5" t="s">
        <v>155</v>
      </c>
      <c r="G40" s="6" t="s">
        <v>156</v>
      </c>
      <c r="H40" s="5" t="str">
        <f>"00.129"</f>
        <v>00.129</v>
      </c>
      <c r="I40" s="4">
        <v>42678</v>
      </c>
      <c r="J40" s="5" t="str">
        <f>"0001.0"</f>
        <v>0001.0</v>
      </c>
      <c r="K40" s="4">
        <v>42794</v>
      </c>
      <c r="L40" s="5" t="str">
        <f>"000517"</f>
        <v>000517</v>
      </c>
      <c r="M40" s="4">
        <v>42794</v>
      </c>
      <c r="N40" s="5">
        <v>16</v>
      </c>
      <c r="O40" s="5" t="str">
        <f>"004670"</f>
        <v>004670</v>
      </c>
      <c r="P40" s="4">
        <v>43313</v>
      </c>
      <c r="Q40" s="7">
        <v>4.2418100000000001</v>
      </c>
      <c r="R40" s="7">
        <v>0.47919</v>
      </c>
      <c r="S40" s="7">
        <v>3.7626200000000001</v>
      </c>
      <c r="T40" s="5">
        <v>159</v>
      </c>
      <c r="U40" s="4">
        <v>43318</v>
      </c>
      <c r="V40" s="5">
        <v>9945417770</v>
      </c>
      <c r="W40" s="6" t="s">
        <v>154</v>
      </c>
      <c r="X40" s="5" t="s">
        <v>31</v>
      </c>
      <c r="Y40" s="6" t="s">
        <v>32</v>
      </c>
      <c r="Z40" s="5" t="s">
        <v>66</v>
      </c>
      <c r="AA40" s="6" t="s">
        <v>67</v>
      </c>
      <c r="AB40" s="7">
        <v>4.24181E-2</v>
      </c>
      <c r="AD40" s="8"/>
      <c r="AF40" s="8"/>
      <c r="AG40" s="8"/>
    </row>
    <row r="41" spans="1:33" x14ac:dyDescent="0.2">
      <c r="A41" s="12">
        <v>4500</v>
      </c>
      <c r="B41" s="13" t="s">
        <v>30</v>
      </c>
      <c r="C41" s="13">
        <v>43318</v>
      </c>
      <c r="D41" s="5">
        <v>94</v>
      </c>
      <c r="E41" s="6" t="s">
        <v>74</v>
      </c>
      <c r="F41" s="5" t="s">
        <v>157</v>
      </c>
      <c r="G41" s="6" t="s">
        <v>158</v>
      </c>
      <c r="H41" s="5" t="str">
        <f>"000120"</f>
        <v>000120</v>
      </c>
      <c r="I41" s="4">
        <v>42678</v>
      </c>
      <c r="J41" s="5" t="str">
        <f>"000.00"</f>
        <v>000.00</v>
      </c>
      <c r="K41" s="4">
        <v>42794</v>
      </c>
      <c r="L41" s="5" t="str">
        <f>"000519"</f>
        <v>000519</v>
      </c>
      <c r="M41" s="4">
        <v>42794</v>
      </c>
      <c r="N41" s="5">
        <v>16</v>
      </c>
      <c r="O41" s="5" t="str">
        <f>"004672"</f>
        <v>004672</v>
      </c>
      <c r="P41" s="4">
        <v>43313</v>
      </c>
      <c r="Q41" s="7">
        <v>4.2294700000000001</v>
      </c>
      <c r="R41" s="7">
        <v>0.52468999999999999</v>
      </c>
      <c r="S41" s="7">
        <v>3.70478</v>
      </c>
      <c r="T41" s="5">
        <v>159</v>
      </c>
      <c r="U41" s="4">
        <v>43318</v>
      </c>
      <c r="V41" s="5">
        <v>9945417770</v>
      </c>
      <c r="W41" s="6" t="s">
        <v>154</v>
      </c>
      <c r="X41" s="5" t="s">
        <v>31</v>
      </c>
      <c r="Y41" s="6" t="s">
        <v>32</v>
      </c>
      <c r="Z41" s="5" t="s">
        <v>66</v>
      </c>
      <c r="AA41" s="6" t="s">
        <v>67</v>
      </c>
      <c r="AB41" s="7">
        <v>4.2294699999999998E-2</v>
      </c>
      <c r="AD41" s="8"/>
      <c r="AF41" s="8"/>
      <c r="AG41" s="8"/>
    </row>
    <row r="42" spans="1:33" x14ac:dyDescent="0.2">
      <c r="A42" s="12">
        <v>4501</v>
      </c>
      <c r="B42" s="13" t="s">
        <v>30</v>
      </c>
      <c r="C42" s="13">
        <v>43318</v>
      </c>
      <c r="D42" s="5">
        <v>94</v>
      </c>
      <c r="E42" s="6" t="s">
        <v>74</v>
      </c>
      <c r="F42" s="5" t="s">
        <v>159</v>
      </c>
      <c r="G42" s="6" t="s">
        <v>160</v>
      </c>
      <c r="H42" s="5" t="str">
        <f>"00.119"</f>
        <v>00.119</v>
      </c>
      <c r="I42" s="4">
        <v>42678</v>
      </c>
      <c r="J42" s="5" t="str">
        <f>"0100.1"</f>
        <v>0100.1</v>
      </c>
      <c r="K42" s="4">
        <v>42794</v>
      </c>
      <c r="L42" s="5" t="str">
        <f>"000521"</f>
        <v>000521</v>
      </c>
      <c r="M42" s="4">
        <v>42794</v>
      </c>
      <c r="N42" s="5">
        <v>16</v>
      </c>
      <c r="O42" s="5" t="str">
        <f>"004673"</f>
        <v>004673</v>
      </c>
      <c r="P42" s="4">
        <v>43313</v>
      </c>
      <c r="Q42" s="7">
        <v>4.2373799999999999</v>
      </c>
      <c r="R42" s="7">
        <v>0.48380000000000001</v>
      </c>
      <c r="S42" s="7">
        <v>3.7535799999999999</v>
      </c>
      <c r="T42" s="5">
        <v>159</v>
      </c>
      <c r="U42" s="4">
        <v>43318</v>
      </c>
      <c r="V42" s="5">
        <v>9945417770</v>
      </c>
      <c r="W42" s="6" t="s">
        <v>154</v>
      </c>
      <c r="X42" s="5" t="s">
        <v>31</v>
      </c>
      <c r="Y42" s="6" t="s">
        <v>32</v>
      </c>
      <c r="Z42" s="5" t="s">
        <v>66</v>
      </c>
      <c r="AA42" s="6" t="s">
        <v>67</v>
      </c>
      <c r="AB42" s="7">
        <v>4.2373799999999996E-2</v>
      </c>
      <c r="AD42" s="8"/>
      <c r="AF42" s="8"/>
      <c r="AG42" s="8"/>
    </row>
    <row r="43" spans="1:33" x14ac:dyDescent="0.2">
      <c r="A43" s="12">
        <v>4502</v>
      </c>
      <c r="B43" s="13" t="s">
        <v>30</v>
      </c>
      <c r="C43" s="13">
        <v>43318</v>
      </c>
      <c r="D43" s="5">
        <v>94</v>
      </c>
      <c r="E43" s="6" t="s">
        <v>74</v>
      </c>
      <c r="F43" s="5" t="s">
        <v>161</v>
      </c>
      <c r="G43" s="6" t="s">
        <v>162</v>
      </c>
      <c r="H43" s="5" t="str">
        <f>"00.131"</f>
        <v>00.131</v>
      </c>
      <c r="I43" s="4">
        <v>42678</v>
      </c>
      <c r="J43" s="5" t="str">
        <f>"00.108"</f>
        <v>00.108</v>
      </c>
      <c r="K43" s="4">
        <v>42794</v>
      </c>
      <c r="L43" s="5" t="str">
        <f>"000522"</f>
        <v>000522</v>
      </c>
      <c r="M43" s="4">
        <v>42794</v>
      </c>
      <c r="N43" s="5">
        <v>16</v>
      </c>
      <c r="O43" s="5" t="str">
        <f>"004675"</f>
        <v>004675</v>
      </c>
      <c r="P43" s="4">
        <v>43313</v>
      </c>
      <c r="Q43" s="7">
        <v>4.2213500000000002</v>
      </c>
      <c r="R43" s="7">
        <v>0.46983000000000003</v>
      </c>
      <c r="S43" s="7">
        <v>3.7515200000000002</v>
      </c>
      <c r="T43" s="5">
        <v>159</v>
      </c>
      <c r="U43" s="4">
        <v>43318</v>
      </c>
      <c r="V43" s="5">
        <v>9945417770</v>
      </c>
      <c r="W43" s="6" t="s">
        <v>154</v>
      </c>
      <c r="X43" s="5" t="s">
        <v>31</v>
      </c>
      <c r="Y43" s="6" t="s">
        <v>32</v>
      </c>
      <c r="Z43" s="5" t="s">
        <v>66</v>
      </c>
      <c r="AA43" s="6" t="s">
        <v>67</v>
      </c>
      <c r="AB43" s="7">
        <v>4.2213500000000001E-2</v>
      </c>
      <c r="AD43" s="8"/>
      <c r="AF43" s="8"/>
      <c r="AG43" s="8"/>
    </row>
    <row r="44" spans="1:33" x14ac:dyDescent="0.2">
      <c r="A44" s="12">
        <v>4832</v>
      </c>
      <c r="B44" s="13" t="s">
        <v>30</v>
      </c>
      <c r="C44" s="13">
        <v>43326</v>
      </c>
      <c r="D44" s="5">
        <v>94</v>
      </c>
      <c r="E44" s="6" t="s">
        <v>74</v>
      </c>
      <c r="F44" s="5" t="s">
        <v>163</v>
      </c>
      <c r="G44" s="6" t="s">
        <v>164</v>
      </c>
      <c r="H44" s="5" t="str">
        <f>"000250"</f>
        <v>000250</v>
      </c>
      <c r="I44" s="4">
        <v>42880</v>
      </c>
      <c r="J44" s="5" t="str">
        <f>"000034"</f>
        <v>000034</v>
      </c>
      <c r="K44" s="4">
        <v>42915</v>
      </c>
      <c r="L44" s="5" t="str">
        <f>"000258"</f>
        <v>000258</v>
      </c>
      <c r="M44" s="4">
        <v>42915</v>
      </c>
      <c r="N44" s="5">
        <v>17</v>
      </c>
      <c r="O44" s="5" t="str">
        <f>"005118"</f>
        <v>005118</v>
      </c>
      <c r="P44" s="4">
        <v>43325</v>
      </c>
      <c r="Q44" s="7">
        <v>4.9924999999999997</v>
      </c>
      <c r="R44" s="7">
        <v>0.66195999999999999</v>
      </c>
      <c r="S44" s="7">
        <v>4.3305400000000001</v>
      </c>
      <c r="T44" s="5">
        <v>172</v>
      </c>
      <c r="U44" s="4">
        <v>43326</v>
      </c>
      <c r="V44" s="5">
        <v>9900226616</v>
      </c>
      <c r="W44" s="6" t="s">
        <v>165</v>
      </c>
      <c r="X44" s="5" t="s">
        <v>31</v>
      </c>
      <c r="Y44" s="6" t="s">
        <v>32</v>
      </c>
      <c r="Z44" s="5" t="s">
        <v>66</v>
      </c>
      <c r="AA44" s="6" t="s">
        <v>67</v>
      </c>
      <c r="AB44" s="7">
        <v>4.9924999999999997E-2</v>
      </c>
      <c r="AD44" s="8"/>
      <c r="AF44" s="8"/>
      <c r="AG44" s="8"/>
    </row>
    <row r="45" spans="1:33" x14ac:dyDescent="0.2">
      <c r="A45" s="12">
        <v>5674</v>
      </c>
      <c r="B45" s="13" t="s">
        <v>38</v>
      </c>
      <c r="C45" s="13">
        <v>43370</v>
      </c>
      <c r="D45" s="5">
        <v>94</v>
      </c>
      <c r="E45" s="6" t="s">
        <v>74</v>
      </c>
      <c r="F45" s="5" t="s">
        <v>166</v>
      </c>
      <c r="G45" s="6" t="s">
        <v>167</v>
      </c>
      <c r="H45" s="5" t="str">
        <f>"000165"</f>
        <v>000165</v>
      </c>
      <c r="I45" s="4">
        <v>43179</v>
      </c>
      <c r="J45" s="5" t="str">
        <f>"000070"</f>
        <v>000070</v>
      </c>
      <c r="K45" s="4">
        <v>43335</v>
      </c>
      <c r="L45" s="5" t="str">
        <f>"000069"</f>
        <v>000069</v>
      </c>
      <c r="M45" s="4">
        <v>43335</v>
      </c>
      <c r="N45" s="5">
        <v>17</v>
      </c>
      <c r="O45" s="5" t="str">
        <f>"006002"</f>
        <v>006002</v>
      </c>
      <c r="P45" s="4">
        <v>43369</v>
      </c>
      <c r="Q45" s="7">
        <v>9.9118300000000001</v>
      </c>
      <c r="R45" s="7">
        <v>1.05202</v>
      </c>
      <c r="S45" s="7">
        <v>8.8598099999999995</v>
      </c>
      <c r="T45" s="5">
        <v>214</v>
      </c>
      <c r="U45" s="4">
        <v>43370</v>
      </c>
      <c r="V45" s="5">
        <v>9141684291</v>
      </c>
      <c r="W45" s="6" t="s">
        <v>53</v>
      </c>
      <c r="X45" s="5" t="s">
        <v>39</v>
      </c>
      <c r="Y45" s="6" t="s">
        <v>40</v>
      </c>
      <c r="Z45" s="5" t="s">
        <v>44</v>
      </c>
      <c r="AA45" s="6" t="s">
        <v>43</v>
      </c>
      <c r="AB45" s="7">
        <f>Q45/100</f>
        <v>9.9118300000000006E-2</v>
      </c>
      <c r="AD45" s="8"/>
      <c r="AF45" s="8"/>
      <c r="AG45" s="8"/>
    </row>
    <row r="46" spans="1:33" x14ac:dyDescent="0.2">
      <c r="A46" s="12">
        <v>5675</v>
      </c>
      <c r="B46" s="13" t="s">
        <v>38</v>
      </c>
      <c r="C46" s="13">
        <v>43370</v>
      </c>
      <c r="D46" s="5">
        <v>94</v>
      </c>
      <c r="E46" s="6" t="s">
        <v>74</v>
      </c>
      <c r="F46" s="5" t="s">
        <v>168</v>
      </c>
      <c r="G46" s="6" t="s">
        <v>169</v>
      </c>
      <c r="H46" s="5" t="str">
        <f>"000684"</f>
        <v>000684</v>
      </c>
      <c r="I46" s="4">
        <v>41621</v>
      </c>
      <c r="J46" s="5" t="str">
        <f>"000.67"</f>
        <v>000.67</v>
      </c>
      <c r="K46" s="4">
        <v>41759</v>
      </c>
      <c r="L46" s="5" t="str">
        <f>"000072"</f>
        <v>000072</v>
      </c>
      <c r="M46" s="4">
        <v>41759</v>
      </c>
      <c r="N46" s="5">
        <v>13</v>
      </c>
      <c r="O46" s="5" t="str">
        <f>"005778"</f>
        <v>005778</v>
      </c>
      <c r="P46" s="4">
        <v>43360</v>
      </c>
      <c r="Q46" s="7">
        <v>1.9615</v>
      </c>
      <c r="R46" s="7">
        <v>0.22105</v>
      </c>
      <c r="S46" s="7">
        <v>1.7404500000000001</v>
      </c>
      <c r="T46" s="5">
        <v>216</v>
      </c>
      <c r="U46" s="4">
        <v>43370</v>
      </c>
      <c r="V46" s="5">
        <v>9448074560</v>
      </c>
      <c r="W46" s="6" t="s">
        <v>170</v>
      </c>
      <c r="X46" s="5" t="s">
        <v>31</v>
      </c>
      <c r="Y46" s="6" t="s">
        <v>32</v>
      </c>
      <c r="Z46" s="5" t="s">
        <v>66</v>
      </c>
      <c r="AA46" s="6" t="s">
        <v>67</v>
      </c>
      <c r="AB46" s="7">
        <f>Q46/100</f>
        <v>1.9615E-2</v>
      </c>
      <c r="AD46" s="8"/>
      <c r="AF46" s="8"/>
      <c r="AG46" s="8"/>
    </row>
    <row r="47" spans="1:33" x14ac:dyDescent="0.2">
      <c r="A47" s="12">
        <v>5676</v>
      </c>
      <c r="B47" s="13" t="s">
        <v>38</v>
      </c>
      <c r="C47" s="13">
        <v>43370</v>
      </c>
      <c r="D47" s="5">
        <v>94</v>
      </c>
      <c r="E47" s="6" t="s">
        <v>74</v>
      </c>
      <c r="F47" s="5" t="s">
        <v>168</v>
      </c>
      <c r="G47" s="6" t="s">
        <v>169</v>
      </c>
      <c r="H47" s="5" t="str">
        <f>"000684"</f>
        <v>000684</v>
      </c>
      <c r="I47" s="4">
        <v>41621</v>
      </c>
      <c r="J47" s="5" t="str">
        <f>"000.67"</f>
        <v>000.67</v>
      </c>
      <c r="K47" s="4">
        <v>41759</v>
      </c>
      <c r="L47" s="5" t="str">
        <f>"000072"</f>
        <v>000072</v>
      </c>
      <c r="M47" s="4">
        <v>41759</v>
      </c>
      <c r="N47" s="5">
        <v>13</v>
      </c>
      <c r="O47" s="5" t="str">
        <f>"005778"</f>
        <v>005778</v>
      </c>
      <c r="P47" s="4">
        <v>43360</v>
      </c>
      <c r="Q47" s="7">
        <v>2.0259999999999998</v>
      </c>
      <c r="R47" s="7">
        <v>0.23197999999999999</v>
      </c>
      <c r="S47" s="7">
        <v>1.7940199999999999</v>
      </c>
      <c r="T47" s="5">
        <v>216</v>
      </c>
      <c r="U47" s="4">
        <v>43370</v>
      </c>
      <c r="V47" s="5">
        <v>9448074560</v>
      </c>
      <c r="W47" s="6" t="s">
        <v>171</v>
      </c>
      <c r="X47" s="5" t="s">
        <v>31</v>
      </c>
      <c r="Y47" s="6" t="s">
        <v>32</v>
      </c>
      <c r="Z47" s="5" t="s">
        <v>66</v>
      </c>
      <c r="AA47" s="6" t="s">
        <v>67</v>
      </c>
      <c r="AB47" s="7">
        <f>Q47/100</f>
        <v>2.0259999999999997E-2</v>
      </c>
      <c r="AD47" s="8"/>
      <c r="AF47" s="8"/>
      <c r="AG47" s="8"/>
    </row>
    <row r="48" spans="1:33" x14ac:dyDescent="0.2">
      <c r="A48" s="12">
        <v>5677</v>
      </c>
      <c r="B48" s="13" t="s">
        <v>38</v>
      </c>
      <c r="C48" s="13">
        <v>43370</v>
      </c>
      <c r="D48" s="5">
        <v>94</v>
      </c>
      <c r="E48" s="6" t="s">
        <v>74</v>
      </c>
      <c r="F48" s="5" t="s">
        <v>168</v>
      </c>
      <c r="G48" s="6" t="s">
        <v>169</v>
      </c>
      <c r="H48" s="5" t="str">
        <f>"000684"</f>
        <v>000684</v>
      </c>
      <c r="I48" s="4">
        <v>41621</v>
      </c>
      <c r="J48" s="5" t="str">
        <f>"000.67"</f>
        <v>000.67</v>
      </c>
      <c r="K48" s="4">
        <v>41759</v>
      </c>
      <c r="L48" s="5" t="str">
        <f>"000072"</f>
        <v>000072</v>
      </c>
      <c r="M48" s="4">
        <v>41759</v>
      </c>
      <c r="N48" s="5">
        <v>13</v>
      </c>
      <c r="O48" s="5" t="str">
        <f>"005778"</f>
        <v>005778</v>
      </c>
      <c r="P48" s="4">
        <v>43360</v>
      </c>
      <c r="Q48" s="7">
        <v>2.0552700000000002</v>
      </c>
      <c r="R48" s="7">
        <v>0.23574000000000001</v>
      </c>
      <c r="S48" s="7">
        <v>1.8195300000000001</v>
      </c>
      <c r="T48" s="5">
        <v>216</v>
      </c>
      <c r="U48" s="4">
        <v>43370</v>
      </c>
      <c r="V48" s="5">
        <v>9448074560</v>
      </c>
      <c r="W48" s="6" t="s">
        <v>171</v>
      </c>
      <c r="X48" s="5" t="s">
        <v>31</v>
      </c>
      <c r="Y48" s="6" t="s">
        <v>32</v>
      </c>
      <c r="Z48" s="5" t="s">
        <v>66</v>
      </c>
      <c r="AA48" s="6" t="s">
        <v>67</v>
      </c>
      <c r="AB48" s="7">
        <f>Q48/100</f>
        <v>2.05527E-2</v>
      </c>
      <c r="AD48" s="8"/>
      <c r="AF48" s="8"/>
      <c r="AG48" s="8"/>
    </row>
    <row r="49" spans="1:33" x14ac:dyDescent="0.2">
      <c r="A49" s="12">
        <v>5678</v>
      </c>
      <c r="B49" s="13" t="s">
        <v>38</v>
      </c>
      <c r="C49" s="13">
        <v>43370</v>
      </c>
      <c r="D49" s="5">
        <v>94</v>
      </c>
      <c r="E49" s="6" t="s">
        <v>74</v>
      </c>
      <c r="F49" s="5" t="s">
        <v>168</v>
      </c>
      <c r="G49" s="6" t="s">
        <v>169</v>
      </c>
      <c r="H49" s="5" t="str">
        <f>"000684"</f>
        <v>000684</v>
      </c>
      <c r="I49" s="4">
        <v>41621</v>
      </c>
      <c r="J49" s="5" t="str">
        <f>"000.67"</f>
        <v>000.67</v>
      </c>
      <c r="K49" s="4">
        <v>41759</v>
      </c>
      <c r="L49" s="5" t="str">
        <f>"000072"</f>
        <v>000072</v>
      </c>
      <c r="M49" s="4">
        <v>41759</v>
      </c>
      <c r="N49" s="5">
        <v>13</v>
      </c>
      <c r="O49" s="5" t="str">
        <f>"005778"</f>
        <v>005778</v>
      </c>
      <c r="P49" s="4">
        <v>43360</v>
      </c>
      <c r="Q49" s="7">
        <v>1.0194099999999999</v>
      </c>
      <c r="R49" s="7">
        <v>0.11643000000000001</v>
      </c>
      <c r="S49" s="7">
        <v>0.90298</v>
      </c>
      <c r="T49" s="5">
        <v>216</v>
      </c>
      <c r="U49" s="4">
        <v>43370</v>
      </c>
      <c r="V49" s="5">
        <v>9448074560</v>
      </c>
      <c r="W49" s="6" t="s">
        <v>171</v>
      </c>
      <c r="X49" s="5" t="s">
        <v>31</v>
      </c>
      <c r="Y49" s="6" t="s">
        <v>32</v>
      </c>
      <c r="Z49" s="5" t="s">
        <v>66</v>
      </c>
      <c r="AA49" s="6" t="s">
        <v>67</v>
      </c>
      <c r="AB49" s="7">
        <f>Q49/100</f>
        <v>1.0194099999999999E-2</v>
      </c>
      <c r="AD49" s="8"/>
      <c r="AF49" s="8"/>
      <c r="AG49" s="8"/>
    </row>
    <row r="50" spans="1:33" x14ac:dyDescent="0.2">
      <c r="A50" s="12">
        <v>5679</v>
      </c>
      <c r="B50" s="13" t="s">
        <v>38</v>
      </c>
      <c r="C50" s="13">
        <v>43370</v>
      </c>
      <c r="D50" s="5">
        <v>94</v>
      </c>
      <c r="E50" s="6" t="s">
        <v>74</v>
      </c>
      <c r="F50" s="5" t="s">
        <v>168</v>
      </c>
      <c r="G50" s="6" t="s">
        <v>169</v>
      </c>
      <c r="H50" s="5" t="str">
        <f>"000684"</f>
        <v>000684</v>
      </c>
      <c r="I50" s="4">
        <v>41621</v>
      </c>
      <c r="J50" s="5" t="str">
        <f>"000.67"</f>
        <v>000.67</v>
      </c>
      <c r="K50" s="4">
        <v>41759</v>
      </c>
      <c r="L50" s="5" t="str">
        <f>"000072"</f>
        <v>000072</v>
      </c>
      <c r="M50" s="4">
        <v>41759</v>
      </c>
      <c r="N50" s="5">
        <v>13</v>
      </c>
      <c r="O50" s="5" t="str">
        <f>"005778"</f>
        <v>005778</v>
      </c>
      <c r="P50" s="4">
        <v>43360</v>
      </c>
      <c r="Q50" s="7">
        <v>1.04</v>
      </c>
      <c r="R50" s="7">
        <v>0.11774999999999999</v>
      </c>
      <c r="S50" s="7">
        <v>0.92225000000000001</v>
      </c>
      <c r="T50" s="5">
        <v>216</v>
      </c>
      <c r="U50" s="4">
        <v>43370</v>
      </c>
      <c r="V50" s="5">
        <v>9448074560</v>
      </c>
      <c r="W50" s="6" t="s">
        <v>171</v>
      </c>
      <c r="X50" s="5" t="s">
        <v>31</v>
      </c>
      <c r="Y50" s="6" t="s">
        <v>32</v>
      </c>
      <c r="Z50" s="5" t="s">
        <v>66</v>
      </c>
      <c r="AA50" s="6" t="s">
        <v>67</v>
      </c>
      <c r="AB50" s="7">
        <f>Q50/100</f>
        <v>1.04E-2</v>
      </c>
      <c r="AD50" s="8"/>
      <c r="AF50" s="8"/>
      <c r="AG50" s="8"/>
    </row>
    <row r="51" spans="1:33" x14ac:dyDescent="0.2">
      <c r="A51" s="12">
        <v>5680</v>
      </c>
      <c r="B51" s="13" t="s">
        <v>38</v>
      </c>
      <c r="C51" s="13">
        <v>43370</v>
      </c>
      <c r="D51" s="5">
        <v>94</v>
      </c>
      <c r="E51" s="6" t="s">
        <v>74</v>
      </c>
      <c r="F51" s="5" t="s">
        <v>168</v>
      </c>
      <c r="G51" s="6" t="s">
        <v>169</v>
      </c>
      <c r="H51" s="5" t="str">
        <f>"000684"</f>
        <v>000684</v>
      </c>
      <c r="I51" s="4">
        <v>41621</v>
      </c>
      <c r="J51" s="5" t="str">
        <f>"000.67"</f>
        <v>000.67</v>
      </c>
      <c r="K51" s="4">
        <v>41759</v>
      </c>
      <c r="L51" s="5" t="str">
        <f>"000072"</f>
        <v>000072</v>
      </c>
      <c r="M51" s="4">
        <v>41759</v>
      </c>
      <c r="N51" s="5">
        <v>13</v>
      </c>
      <c r="O51" s="5" t="str">
        <f>"005778"</f>
        <v>005778</v>
      </c>
      <c r="P51" s="4">
        <v>43360</v>
      </c>
      <c r="Q51" s="7">
        <v>1.6377299999999999</v>
      </c>
      <c r="R51" s="7">
        <v>0.18523999999999999</v>
      </c>
      <c r="S51" s="7">
        <v>1.4524900000000001</v>
      </c>
      <c r="T51" s="5">
        <v>216</v>
      </c>
      <c r="U51" s="4">
        <v>43370</v>
      </c>
      <c r="V51" s="5">
        <v>9448074560</v>
      </c>
      <c r="W51" s="6" t="s">
        <v>171</v>
      </c>
      <c r="X51" s="5" t="s">
        <v>31</v>
      </c>
      <c r="Y51" s="6" t="s">
        <v>32</v>
      </c>
      <c r="Z51" s="5" t="s">
        <v>66</v>
      </c>
      <c r="AA51" s="6" t="s">
        <v>67</v>
      </c>
      <c r="AB51" s="7">
        <f>Q51/100</f>
        <v>1.6377299999999997E-2</v>
      </c>
      <c r="AD51" s="8"/>
      <c r="AF51" s="8"/>
      <c r="AG51" s="8"/>
    </row>
    <row r="52" spans="1:33" x14ac:dyDescent="0.2">
      <c r="A52" s="12">
        <v>5681</v>
      </c>
      <c r="B52" s="13" t="s">
        <v>38</v>
      </c>
      <c r="C52" s="13">
        <v>43370</v>
      </c>
      <c r="D52" s="5">
        <v>94</v>
      </c>
      <c r="E52" s="6" t="s">
        <v>74</v>
      </c>
      <c r="F52" s="5" t="s">
        <v>168</v>
      </c>
      <c r="G52" s="6" t="s">
        <v>169</v>
      </c>
      <c r="H52" s="5" t="str">
        <f>"000684"</f>
        <v>000684</v>
      </c>
      <c r="I52" s="4">
        <v>41621</v>
      </c>
      <c r="J52" s="5" t="str">
        <f>"000.67"</f>
        <v>000.67</v>
      </c>
      <c r="K52" s="4">
        <v>41759</v>
      </c>
      <c r="L52" s="5" t="str">
        <f>"000072"</f>
        <v>000072</v>
      </c>
      <c r="M52" s="4">
        <v>41759</v>
      </c>
      <c r="N52" s="5">
        <v>13</v>
      </c>
      <c r="O52" s="5" t="str">
        <f>"005778"</f>
        <v>005778</v>
      </c>
      <c r="P52" s="4">
        <v>43360</v>
      </c>
      <c r="Q52" s="7">
        <v>1.3774500000000001</v>
      </c>
      <c r="R52" s="7">
        <v>0.15328</v>
      </c>
      <c r="S52" s="7">
        <v>1.22417</v>
      </c>
      <c r="T52" s="5">
        <v>216</v>
      </c>
      <c r="U52" s="4">
        <v>43370</v>
      </c>
      <c r="V52" s="5">
        <v>1234567890</v>
      </c>
      <c r="W52" s="6" t="s">
        <v>172</v>
      </c>
      <c r="X52" s="5" t="s">
        <v>31</v>
      </c>
      <c r="Y52" s="6" t="s">
        <v>32</v>
      </c>
      <c r="Z52" s="5" t="s">
        <v>66</v>
      </c>
      <c r="AA52" s="6" t="s">
        <v>67</v>
      </c>
      <c r="AB52" s="7">
        <f>Q52/100</f>
        <v>1.37745E-2</v>
      </c>
      <c r="AD52" s="8"/>
      <c r="AF52" s="8"/>
      <c r="AG52" s="8"/>
    </row>
    <row r="53" spans="1:33" x14ac:dyDescent="0.2">
      <c r="A53" s="12">
        <v>6116</v>
      </c>
      <c r="B53" s="13" t="s">
        <v>42</v>
      </c>
      <c r="C53" s="13">
        <v>43385</v>
      </c>
      <c r="D53" s="5">
        <v>94</v>
      </c>
      <c r="E53" s="6" t="s">
        <v>74</v>
      </c>
      <c r="F53" s="5" t="s">
        <v>173</v>
      </c>
      <c r="G53" s="6" t="s">
        <v>174</v>
      </c>
      <c r="H53" s="5" t="str">
        <f>"000112"</f>
        <v>000112</v>
      </c>
      <c r="I53" s="4">
        <v>43312</v>
      </c>
      <c r="J53" s="5" t="str">
        <f>"000086"</f>
        <v>000086</v>
      </c>
      <c r="K53" s="4">
        <v>43312</v>
      </c>
      <c r="L53" s="5" t="str">
        <f>"000112"</f>
        <v>000112</v>
      </c>
      <c r="M53" s="4">
        <v>43312</v>
      </c>
      <c r="N53" s="5">
        <v>18</v>
      </c>
      <c r="O53" s="5" t="str">
        <f>"006592"</f>
        <v>006592</v>
      </c>
      <c r="P53" s="4">
        <v>43384</v>
      </c>
      <c r="Q53" s="7">
        <v>164.80880999999999</v>
      </c>
      <c r="R53" s="7">
        <v>16.41769</v>
      </c>
      <c r="S53" s="7">
        <v>148.39112</v>
      </c>
      <c r="T53" s="5">
        <v>234</v>
      </c>
      <c r="U53" s="4">
        <v>43385</v>
      </c>
      <c r="V53" s="5">
        <v>9483161122</v>
      </c>
      <c r="W53" s="6" t="s">
        <v>71</v>
      </c>
      <c r="X53" s="5" t="s">
        <v>28</v>
      </c>
      <c r="Y53" s="6" t="s">
        <v>29</v>
      </c>
      <c r="Z53" s="5" t="s">
        <v>66</v>
      </c>
      <c r="AA53" s="6" t="s">
        <v>70</v>
      </c>
      <c r="AB53" s="7">
        <f>Q53/100</f>
        <v>1.6480880999999998</v>
      </c>
      <c r="AD53" s="8"/>
      <c r="AF53" s="8"/>
      <c r="AG53" s="8"/>
    </row>
    <row r="54" spans="1:33" x14ac:dyDescent="0.2">
      <c r="A54" s="12">
        <v>6995</v>
      </c>
      <c r="B54" s="13" t="s">
        <v>42</v>
      </c>
      <c r="C54" s="13">
        <v>43403</v>
      </c>
      <c r="D54" s="5">
        <v>94</v>
      </c>
      <c r="E54" s="6" t="s">
        <v>74</v>
      </c>
      <c r="F54" s="5" t="s">
        <v>168</v>
      </c>
      <c r="G54" s="6" t="s">
        <v>169</v>
      </c>
      <c r="H54" s="5" t="str">
        <f>"000684"</f>
        <v>000684</v>
      </c>
      <c r="I54" s="4">
        <v>41621</v>
      </c>
      <c r="J54" s="5" t="str">
        <f>"000.67"</f>
        <v>000.67</v>
      </c>
      <c r="K54" s="4">
        <v>41759</v>
      </c>
      <c r="L54" s="5" t="str">
        <f>"000072"</f>
        <v>000072</v>
      </c>
      <c r="M54" s="4">
        <v>41759</v>
      </c>
      <c r="N54" s="5">
        <v>13</v>
      </c>
      <c r="O54" s="5" t="str">
        <f>"005778"</f>
        <v>005778</v>
      </c>
      <c r="P54" s="4">
        <v>43360</v>
      </c>
      <c r="Q54" s="7">
        <v>1.0384899999999999</v>
      </c>
      <c r="R54" s="7">
        <v>0.11756</v>
      </c>
      <c r="S54" s="7">
        <v>0.92093000000000003</v>
      </c>
      <c r="T54" s="5">
        <v>254</v>
      </c>
      <c r="U54" s="4">
        <v>43403</v>
      </c>
      <c r="V54" s="5">
        <v>9448074560</v>
      </c>
      <c r="W54" s="6" t="s">
        <v>170</v>
      </c>
      <c r="X54" s="5" t="s">
        <v>31</v>
      </c>
      <c r="Y54" s="6" t="s">
        <v>32</v>
      </c>
      <c r="Z54" s="5" t="s">
        <v>66</v>
      </c>
      <c r="AA54" s="6" t="s">
        <v>70</v>
      </c>
      <c r="AB54" s="7">
        <f>Q54/100</f>
        <v>1.0384899999999999E-2</v>
      </c>
      <c r="AD54" s="8"/>
      <c r="AF54" s="8"/>
      <c r="AG54" s="8"/>
    </row>
    <row r="55" spans="1:33" x14ac:dyDescent="0.2">
      <c r="A55" s="12">
        <v>6996</v>
      </c>
      <c r="B55" s="13" t="s">
        <v>42</v>
      </c>
      <c r="C55" s="13">
        <v>43403</v>
      </c>
      <c r="D55" s="5">
        <v>94</v>
      </c>
      <c r="E55" s="6" t="s">
        <v>74</v>
      </c>
      <c r="F55" s="5" t="s">
        <v>175</v>
      </c>
      <c r="G55" s="6" t="s">
        <v>176</v>
      </c>
      <c r="H55" s="5" t="str">
        <f>"000227"</f>
        <v>000227</v>
      </c>
      <c r="I55" s="4">
        <v>42849</v>
      </c>
      <c r="J55" s="5" t="str">
        <f>"0000.4"</f>
        <v>0000.4</v>
      </c>
      <c r="K55" s="4">
        <v>42882</v>
      </c>
      <c r="L55" s="5" t="str">
        <f>"000159"</f>
        <v>000159</v>
      </c>
      <c r="M55" s="4">
        <v>42880</v>
      </c>
      <c r="N55" s="5">
        <v>17</v>
      </c>
      <c r="O55" s="5" t="str">
        <f>"006765"</f>
        <v>006765</v>
      </c>
      <c r="P55" s="4">
        <v>43389</v>
      </c>
      <c r="Q55" s="7">
        <v>17.886749999999999</v>
      </c>
      <c r="R55" s="7">
        <v>2.2334200000000002</v>
      </c>
      <c r="S55" s="7">
        <v>15.65333</v>
      </c>
      <c r="T55" s="5">
        <v>255</v>
      </c>
      <c r="U55" s="4">
        <v>43403</v>
      </c>
      <c r="V55" s="5">
        <v>9945417770</v>
      </c>
      <c r="W55" s="6" t="s">
        <v>177</v>
      </c>
      <c r="X55" s="5" t="s">
        <v>31</v>
      </c>
      <c r="Y55" s="6" t="s">
        <v>32</v>
      </c>
      <c r="Z55" s="5" t="s">
        <v>66</v>
      </c>
      <c r="AA55" s="6" t="s">
        <v>70</v>
      </c>
      <c r="AB55" s="7">
        <f>Q55/100</f>
        <v>0.17886749999999998</v>
      </c>
      <c r="AD55" s="8"/>
      <c r="AF55" s="8"/>
      <c r="AG55" s="8"/>
    </row>
    <row r="56" spans="1:33" x14ac:dyDescent="0.2">
      <c r="A56" s="12">
        <v>6997</v>
      </c>
      <c r="B56" s="13" t="s">
        <v>42</v>
      </c>
      <c r="C56" s="13">
        <v>43403</v>
      </c>
      <c r="D56" s="5">
        <v>94</v>
      </c>
      <c r="E56" s="6" t="s">
        <v>74</v>
      </c>
      <c r="F56" s="5" t="s">
        <v>178</v>
      </c>
      <c r="G56" s="6" t="s">
        <v>179</v>
      </c>
      <c r="H56" s="5" t="str">
        <f>"000224"</f>
        <v>000224</v>
      </c>
      <c r="I56" s="4">
        <v>42849</v>
      </c>
      <c r="J56" s="5" t="str">
        <f>"0000.7"</f>
        <v>0000.7</v>
      </c>
      <c r="K56" s="4">
        <v>42882</v>
      </c>
      <c r="L56" s="5" t="str">
        <f>"000150"</f>
        <v>000150</v>
      </c>
      <c r="M56" s="4">
        <v>42882</v>
      </c>
      <c r="N56" s="5">
        <v>17</v>
      </c>
      <c r="O56" s="5" t="str">
        <f>"006770"</f>
        <v>006770</v>
      </c>
      <c r="P56" s="4">
        <v>43389</v>
      </c>
      <c r="Q56" s="7">
        <v>17.879539999999999</v>
      </c>
      <c r="R56" s="7">
        <v>2.2257400000000001</v>
      </c>
      <c r="S56" s="7">
        <v>15.6538</v>
      </c>
      <c r="T56" s="5">
        <v>255</v>
      </c>
      <c r="U56" s="4">
        <v>43403</v>
      </c>
      <c r="V56" s="5">
        <v>9945417770</v>
      </c>
      <c r="W56" s="6" t="s">
        <v>177</v>
      </c>
      <c r="X56" s="5" t="s">
        <v>31</v>
      </c>
      <c r="Y56" s="6" t="s">
        <v>32</v>
      </c>
      <c r="Z56" s="5" t="s">
        <v>66</v>
      </c>
      <c r="AA56" s="6" t="s">
        <v>70</v>
      </c>
      <c r="AB56" s="7">
        <f>Q56/100</f>
        <v>0.17879539999999999</v>
      </c>
      <c r="AD56" s="8"/>
      <c r="AF56" s="8"/>
      <c r="AG56" s="8"/>
    </row>
    <row r="57" spans="1:33" x14ac:dyDescent="0.2">
      <c r="A57" s="12">
        <v>6998</v>
      </c>
      <c r="B57" s="13" t="s">
        <v>42</v>
      </c>
      <c r="C57" s="13">
        <v>43403</v>
      </c>
      <c r="D57" s="5">
        <v>94</v>
      </c>
      <c r="E57" s="6" t="s">
        <v>74</v>
      </c>
      <c r="F57" s="5" t="s">
        <v>180</v>
      </c>
      <c r="G57" s="6" t="s">
        <v>181</v>
      </c>
      <c r="H57" s="5" t="str">
        <f>"000.01"</f>
        <v>000.01</v>
      </c>
      <c r="I57" s="4">
        <v>42843</v>
      </c>
      <c r="J57" s="5" t="str">
        <f>"000..7"</f>
        <v>000..7</v>
      </c>
      <c r="K57" s="4">
        <v>42882</v>
      </c>
      <c r="L57" s="5" t="str">
        <f>"000152"</f>
        <v>000152</v>
      </c>
      <c r="M57" s="4">
        <v>42882</v>
      </c>
      <c r="N57" s="5">
        <v>17</v>
      </c>
      <c r="O57" s="5" t="str">
        <f>"006772"</f>
        <v>006772</v>
      </c>
      <c r="P57" s="4">
        <v>43389</v>
      </c>
      <c r="Q57" s="7">
        <v>8.9254300000000004</v>
      </c>
      <c r="R57" s="7">
        <v>1.09738</v>
      </c>
      <c r="S57" s="7">
        <v>7.8280500000000002</v>
      </c>
      <c r="T57" s="5">
        <v>255</v>
      </c>
      <c r="U57" s="4">
        <v>43403</v>
      </c>
      <c r="V57" s="5">
        <v>9945417770</v>
      </c>
      <c r="W57" s="6" t="s">
        <v>154</v>
      </c>
      <c r="X57" s="5" t="s">
        <v>31</v>
      </c>
      <c r="Y57" s="6" t="s">
        <v>32</v>
      </c>
      <c r="Z57" s="5" t="s">
        <v>66</v>
      </c>
      <c r="AA57" s="6" t="s">
        <v>70</v>
      </c>
      <c r="AB57" s="7">
        <f>Q57/100</f>
        <v>8.9254300000000009E-2</v>
      </c>
      <c r="AD57" s="8"/>
      <c r="AF57" s="8"/>
      <c r="AG57" s="8"/>
    </row>
    <row r="58" spans="1:33" x14ac:dyDescent="0.2">
      <c r="A58" s="12">
        <v>6999</v>
      </c>
      <c r="B58" s="13" t="s">
        <v>42</v>
      </c>
      <c r="C58" s="13">
        <v>43403</v>
      </c>
      <c r="D58" s="5">
        <v>94</v>
      </c>
      <c r="E58" s="6" t="s">
        <v>74</v>
      </c>
      <c r="F58" s="5" t="s">
        <v>182</v>
      </c>
      <c r="G58" s="6" t="s">
        <v>183</v>
      </c>
      <c r="H58" s="5" t="str">
        <f>"00..01"</f>
        <v>00..01</v>
      </c>
      <c r="I58" s="4">
        <v>42849</v>
      </c>
      <c r="J58" s="5" t="str">
        <f>"0000.8"</f>
        <v>0000.8</v>
      </c>
      <c r="K58" s="4">
        <v>42882</v>
      </c>
      <c r="L58" s="5" t="str">
        <f>"000156"</f>
        <v>000156</v>
      </c>
      <c r="M58" s="4">
        <v>42882</v>
      </c>
      <c r="N58" s="5">
        <v>17</v>
      </c>
      <c r="O58" s="5" t="str">
        <f>"006774"</f>
        <v>006774</v>
      </c>
      <c r="P58" s="4">
        <v>43389</v>
      </c>
      <c r="Q58" s="7">
        <v>8.9315300000000004</v>
      </c>
      <c r="R58" s="7">
        <v>1.09266</v>
      </c>
      <c r="S58" s="7">
        <v>7.83887</v>
      </c>
      <c r="T58" s="5">
        <v>255</v>
      </c>
      <c r="U58" s="4">
        <v>43403</v>
      </c>
      <c r="V58" s="5">
        <v>9945417770</v>
      </c>
      <c r="W58" s="6" t="s">
        <v>154</v>
      </c>
      <c r="X58" s="5" t="s">
        <v>31</v>
      </c>
      <c r="Y58" s="6" t="s">
        <v>32</v>
      </c>
      <c r="Z58" s="5" t="s">
        <v>66</v>
      </c>
      <c r="AA58" s="6" t="s">
        <v>70</v>
      </c>
      <c r="AB58" s="7">
        <f>Q58/100</f>
        <v>8.93153E-2</v>
      </c>
      <c r="AD58" s="8"/>
      <c r="AF58" s="8"/>
      <c r="AG58" s="8"/>
    </row>
    <row r="59" spans="1:33" x14ac:dyDescent="0.2">
      <c r="A59" s="12">
        <v>7000</v>
      </c>
      <c r="B59" s="13" t="s">
        <v>42</v>
      </c>
      <c r="C59" s="13">
        <v>43403</v>
      </c>
      <c r="D59" s="5">
        <v>94</v>
      </c>
      <c r="E59" s="6" t="s">
        <v>74</v>
      </c>
      <c r="F59" s="5" t="s">
        <v>184</v>
      </c>
      <c r="G59" s="6" t="s">
        <v>185</v>
      </c>
      <c r="H59" s="5" t="str">
        <f>"000229"</f>
        <v>000229</v>
      </c>
      <c r="I59" s="4">
        <v>42849</v>
      </c>
      <c r="J59" s="5" t="str">
        <f>"0000.1"</f>
        <v>0000.1</v>
      </c>
      <c r="K59" s="4">
        <v>42882</v>
      </c>
      <c r="L59" s="5" t="str">
        <f>"000158"</f>
        <v>000158</v>
      </c>
      <c r="M59" s="4">
        <v>42882</v>
      </c>
      <c r="N59" s="5">
        <v>17</v>
      </c>
      <c r="O59" s="5" t="str">
        <f>"006775"</f>
        <v>006775</v>
      </c>
      <c r="P59" s="4">
        <v>43389</v>
      </c>
      <c r="Q59" s="7">
        <v>17.87481</v>
      </c>
      <c r="R59" s="7">
        <v>2.2141600000000001</v>
      </c>
      <c r="S59" s="7">
        <v>15.66065</v>
      </c>
      <c r="T59" s="5">
        <v>255</v>
      </c>
      <c r="U59" s="4">
        <v>43403</v>
      </c>
      <c r="V59" s="5">
        <v>9945417770</v>
      </c>
      <c r="W59" s="6" t="s">
        <v>177</v>
      </c>
      <c r="X59" s="5" t="s">
        <v>31</v>
      </c>
      <c r="Y59" s="6" t="s">
        <v>32</v>
      </c>
      <c r="Z59" s="5" t="s">
        <v>66</v>
      </c>
      <c r="AA59" s="6" t="s">
        <v>70</v>
      </c>
      <c r="AB59" s="7">
        <f>Q59/100</f>
        <v>0.17874809999999999</v>
      </c>
      <c r="AD59" s="8"/>
      <c r="AF59" s="8"/>
      <c r="AG59" s="8"/>
    </row>
    <row r="60" spans="1:33" x14ac:dyDescent="0.2">
      <c r="A60" s="12">
        <v>7001</v>
      </c>
      <c r="B60" s="13" t="s">
        <v>42</v>
      </c>
      <c r="C60" s="13">
        <v>43403</v>
      </c>
      <c r="D60" s="5">
        <v>94</v>
      </c>
      <c r="E60" s="6" t="s">
        <v>74</v>
      </c>
      <c r="F60" s="5" t="s">
        <v>186</v>
      </c>
      <c r="G60" s="6" t="s">
        <v>187</v>
      </c>
      <c r="H60" s="5" t="str">
        <f>"000225"</f>
        <v>000225</v>
      </c>
      <c r="I60" s="4">
        <v>42849</v>
      </c>
      <c r="J60" s="5" t="str">
        <f>"0000.6"</f>
        <v>0000.6</v>
      </c>
      <c r="K60" s="4">
        <v>42882</v>
      </c>
      <c r="L60" s="5" t="str">
        <f>"000160"</f>
        <v>000160</v>
      </c>
      <c r="M60" s="4">
        <v>42882</v>
      </c>
      <c r="N60" s="5">
        <v>17</v>
      </c>
      <c r="O60" s="5" t="str">
        <f>"006776"</f>
        <v>006776</v>
      </c>
      <c r="P60" s="4">
        <v>43389</v>
      </c>
      <c r="Q60" s="7">
        <v>17.871400000000001</v>
      </c>
      <c r="R60" s="7">
        <v>2.2263000000000002</v>
      </c>
      <c r="S60" s="7">
        <v>15.645099999999999</v>
      </c>
      <c r="T60" s="5">
        <v>255</v>
      </c>
      <c r="U60" s="4">
        <v>43403</v>
      </c>
      <c r="V60" s="5">
        <v>9945417770</v>
      </c>
      <c r="W60" s="6" t="s">
        <v>177</v>
      </c>
      <c r="X60" s="5" t="s">
        <v>31</v>
      </c>
      <c r="Y60" s="6" t="s">
        <v>32</v>
      </c>
      <c r="Z60" s="5" t="s">
        <v>66</v>
      </c>
      <c r="AA60" s="6" t="s">
        <v>70</v>
      </c>
      <c r="AB60" s="7">
        <f>Q60/100</f>
        <v>0.17871400000000001</v>
      </c>
      <c r="AD60" s="8"/>
      <c r="AF60" s="8"/>
      <c r="AG60" s="8"/>
    </row>
    <row r="61" spans="1:33" x14ac:dyDescent="0.2">
      <c r="A61" s="12">
        <v>7514</v>
      </c>
      <c r="B61" s="13" t="s">
        <v>41</v>
      </c>
      <c r="C61" s="13">
        <v>43437</v>
      </c>
      <c r="D61" s="5">
        <v>94</v>
      </c>
      <c r="E61" s="6" t="s">
        <v>74</v>
      </c>
      <c r="F61" s="5" t="s">
        <v>188</v>
      </c>
      <c r="G61" s="6" t="s">
        <v>189</v>
      </c>
      <c r="H61" s="5" t="str">
        <f>"000226"</f>
        <v>000226</v>
      </c>
      <c r="I61" s="4">
        <v>42849</v>
      </c>
      <c r="J61" s="5" t="str">
        <f>"0000.2"</f>
        <v>0000.2</v>
      </c>
      <c r="K61" s="4">
        <v>42882</v>
      </c>
      <c r="L61" s="5" t="str">
        <f>"000163"</f>
        <v>000163</v>
      </c>
      <c r="M61" s="4">
        <v>42882</v>
      </c>
      <c r="N61" s="5">
        <v>17</v>
      </c>
      <c r="O61" s="5" t="str">
        <f>"007378"</f>
        <v>007378</v>
      </c>
      <c r="P61" s="4">
        <v>43420</v>
      </c>
      <c r="Q61" s="7">
        <v>17.882290000000001</v>
      </c>
      <c r="R61" s="7">
        <v>2.2228699999999999</v>
      </c>
      <c r="S61" s="7">
        <v>15.659420000000001</v>
      </c>
      <c r="T61" s="5">
        <v>279</v>
      </c>
      <c r="U61" s="4">
        <v>43437</v>
      </c>
      <c r="V61" s="5">
        <v>9945417770</v>
      </c>
      <c r="W61" s="6" t="s">
        <v>177</v>
      </c>
      <c r="X61" s="5" t="s">
        <v>31</v>
      </c>
      <c r="Y61" s="6" t="s">
        <v>32</v>
      </c>
      <c r="Z61" s="5" t="s">
        <v>66</v>
      </c>
      <c r="AA61" s="6" t="s">
        <v>70</v>
      </c>
      <c r="AB61" s="7">
        <f>Q61/100</f>
        <v>0.17882290000000001</v>
      </c>
      <c r="AD61" s="8"/>
      <c r="AF61" s="8"/>
      <c r="AG61" s="8"/>
    </row>
    <row r="62" spans="1:33" x14ac:dyDescent="0.2">
      <c r="A62" s="12">
        <v>7677</v>
      </c>
      <c r="B62" s="13" t="s">
        <v>41</v>
      </c>
      <c r="C62" s="13">
        <v>43447</v>
      </c>
      <c r="D62" s="5">
        <v>94</v>
      </c>
      <c r="E62" s="6" t="s">
        <v>74</v>
      </c>
      <c r="F62" s="5" t="s">
        <v>190</v>
      </c>
      <c r="G62" s="6" t="s">
        <v>191</v>
      </c>
      <c r="H62" s="5" t="str">
        <f>"000176"</f>
        <v>000176</v>
      </c>
      <c r="I62" s="4">
        <v>43420</v>
      </c>
      <c r="J62" s="5" t="str">
        <f>"000126"</f>
        <v>000126</v>
      </c>
      <c r="K62" s="4">
        <v>43420</v>
      </c>
      <c r="L62" s="5" t="str">
        <f>"000176"</f>
        <v>000176</v>
      </c>
      <c r="M62" s="4">
        <v>43420</v>
      </c>
      <c r="N62" s="5">
        <v>18</v>
      </c>
      <c r="O62" s="5" t="str">
        <f>"007943"</f>
        <v>007943</v>
      </c>
      <c r="P62" s="4">
        <v>43447</v>
      </c>
      <c r="Q62" s="7">
        <v>14.996029999999999</v>
      </c>
      <c r="R62" s="7">
        <v>1.8753500000000001</v>
      </c>
      <c r="S62" s="7">
        <v>13.12068</v>
      </c>
      <c r="T62" s="5">
        <v>289</v>
      </c>
      <c r="U62" s="4">
        <v>43447</v>
      </c>
      <c r="V62" s="5">
        <v>9483161122</v>
      </c>
      <c r="W62" s="6" t="s">
        <v>71</v>
      </c>
      <c r="X62" s="5" t="s">
        <v>46</v>
      </c>
      <c r="Y62" s="6" t="s">
        <v>45</v>
      </c>
      <c r="Z62" s="5" t="s">
        <v>66</v>
      </c>
      <c r="AA62" s="6" t="s">
        <v>70</v>
      </c>
      <c r="AB62" s="7">
        <f>Q62/100</f>
        <v>0.14996029999999999</v>
      </c>
      <c r="AD62" s="8"/>
      <c r="AF62" s="8"/>
      <c r="AG62" s="8"/>
    </row>
    <row r="63" spans="1:33" x14ac:dyDescent="0.2">
      <c r="A63" s="12">
        <v>8020</v>
      </c>
      <c r="B63" s="13" t="s">
        <v>41</v>
      </c>
      <c r="C63" s="13">
        <v>43455</v>
      </c>
      <c r="D63" s="5">
        <v>94</v>
      </c>
      <c r="E63" s="6" t="s">
        <v>74</v>
      </c>
      <c r="F63" s="5" t="s">
        <v>192</v>
      </c>
      <c r="G63" s="6" t="s">
        <v>193</v>
      </c>
      <c r="H63" s="5" t="str">
        <f>"000228"</f>
        <v>000228</v>
      </c>
      <c r="I63" s="4">
        <v>42849</v>
      </c>
      <c r="J63" s="5" t="str">
        <f>"0000.3"</f>
        <v>0000.3</v>
      </c>
      <c r="K63" s="4">
        <v>42895</v>
      </c>
      <c r="L63" s="5" t="str">
        <f>"000210"</f>
        <v>000210</v>
      </c>
      <c r="M63" s="4">
        <v>42895</v>
      </c>
      <c r="N63" s="5">
        <v>17</v>
      </c>
      <c r="O63" s="5" t="str">
        <f>"008124"</f>
        <v>008124</v>
      </c>
      <c r="P63" s="4">
        <v>43454</v>
      </c>
      <c r="Q63" s="7">
        <v>17.879449999999999</v>
      </c>
      <c r="R63" s="7">
        <v>2.2327400000000002</v>
      </c>
      <c r="S63" s="7">
        <v>15.646710000000001</v>
      </c>
      <c r="T63" s="5">
        <v>301</v>
      </c>
      <c r="U63" s="4">
        <v>43455</v>
      </c>
      <c r="V63" s="5">
        <v>9945417770</v>
      </c>
      <c r="W63" s="6" t="s">
        <v>177</v>
      </c>
      <c r="X63" s="5" t="s">
        <v>31</v>
      </c>
      <c r="Y63" s="6" t="s">
        <v>32</v>
      </c>
      <c r="Z63" s="5" t="s">
        <v>66</v>
      </c>
      <c r="AA63" s="6" t="s">
        <v>70</v>
      </c>
      <c r="AB63" s="7">
        <f>Q63/100</f>
        <v>0.1787945</v>
      </c>
      <c r="AD63" s="8"/>
      <c r="AF63" s="8"/>
      <c r="AG63" s="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2019-01-08T05:01:28Z</dcterms:created>
  <dcterms:modified xsi:type="dcterms:W3CDTF">2019-01-14T14:11:22Z</dcterms:modified>
</cp:coreProperties>
</file>