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 i="1" l="1"/>
  <c r="L46" i="1"/>
  <c r="J46" i="1"/>
  <c r="H46" i="1"/>
  <c r="O45" i="1"/>
  <c r="L45" i="1"/>
  <c r="J45" i="1"/>
  <c r="H45" i="1"/>
  <c r="O44" i="1"/>
  <c r="L44" i="1"/>
  <c r="J44" i="1"/>
  <c r="H44" i="1"/>
  <c r="O43" i="1"/>
  <c r="L43" i="1"/>
  <c r="J43" i="1"/>
  <c r="H43" i="1"/>
  <c r="O42" i="1"/>
  <c r="L42" i="1"/>
  <c r="J42" i="1"/>
  <c r="H42"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O16" i="1"/>
  <c r="L16" i="1"/>
  <c r="J16" i="1"/>
  <c r="H16"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<sst xmlns="http://schemas.openxmlformats.org/spreadsheetml/2006/main" count="433" uniqueCount="185">
  <si>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</si>
  <si>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</si>
  <si>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</si>
  <si>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</si>
  <si>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</si>
  <si>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</si>
  <si>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</si>
  <si>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</si>
  <si>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</si>
  <si>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</si>
  <si>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</si>
  <si>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</si>
  <si>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</si>
  <si>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</si>
  <si>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</si>
  <si>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</si>
  <si>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</si>
  <si>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</si>
  <si>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</si>
  <si>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</si>
  <si>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</si>
  <si>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</si>
  <si>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</si>
  <si>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</si>
  <si>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</si>
  <si>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</si>
  <si>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</si>
  <si>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</si>
  <si>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</si>
  <si>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Kempegowda Ward</t>
  </si>
  <si>
    <t>001-17-000031</t>
  </si>
  <si>
    <t>Maintenance of Existing borewells and pipe lines in and arround areas of ward No 01 of yelahanka Sub division</t>
  </si>
  <si>
    <t xml:space="preserve">Shadayan </t>
  </si>
  <si>
    <t>P1802</t>
  </si>
  <si>
    <t>Water Supply New Areas</t>
  </si>
  <si>
    <t>ddo227</t>
  </si>
  <si>
    <t xml:space="preserve"> Assistant Executive Engineer Maruthinagara Yelhanka Zone</t>
  </si>
  <si>
    <t>001-16-000004</t>
  </si>
  <si>
    <t>Operation and maintenance of Street lights in Kempegowda Ward W No 1 Package Y 1</t>
  </si>
  <si>
    <t>M/s Sri Vinayaka Electricals</t>
  </si>
  <si>
    <t>P0300</t>
  </si>
  <si>
    <t>M and R to Street Lights - Replacement of Burnt Bulbs etc. (Package)</t>
  </si>
  <si>
    <t>ddo617</t>
  </si>
  <si>
    <t xml:space="preserve"> Executive Engineer Electrical Yelhanka Zone</t>
  </si>
  <si>
    <t>001-17-000066</t>
  </si>
  <si>
    <t>PACKAGE-06 Providing and fixing furniture and interior works to Mini Vidhana Soudha at Yelahanka in ward no 01 b) Construction of Additional Floor over existing samudhaya Bhavana Near Venugopal Swamy temple in Ward No.02</t>
  </si>
  <si>
    <t>Sri.D.K.Nagaraj</t>
  </si>
  <si>
    <t>P3158</t>
  </si>
  <si>
    <t>SIP Infrastructure Project works</t>
  </si>
  <si>
    <t>ddo235</t>
  </si>
  <si>
    <t xml:space="preserve"> Assistant Executive Engineer Project-1 Yelahanka Zone</t>
  </si>
  <si>
    <t>June</t>
  </si>
  <si>
    <t>001-17-000027</t>
  </si>
  <si>
    <t>Providing Temporary Immersion Tank for lord Ganesh Idols at  near Yelahanka lake  in ward No 1 of Yelahanka Sub Division</t>
  </si>
  <si>
    <t>G.Balaji</t>
  </si>
  <si>
    <t>P1771</t>
  </si>
  <si>
    <t>Zone Works - POW Works</t>
  </si>
  <si>
    <t>001-17-000028</t>
  </si>
  <si>
    <t>Emergent work in ward No 01 of yelahanka sub division</t>
  </si>
  <si>
    <t>R.S.Thyagaraj</t>
  </si>
  <si>
    <t>001-17-000045</t>
  </si>
  <si>
    <t>Repairs to Existing Park Lightings Burrial grounds and Metering to the existing Installation in Park at Yelahanka Constituency</t>
  </si>
  <si>
    <t>M/ s Sri Lakshmivaradaraja Electrical Stores</t>
  </si>
  <si>
    <t>P0298</t>
  </si>
  <si>
    <t>M and R to Electrical Installations in Parks and Gardens, Playgrounds, Burial Grounds</t>
  </si>
  <si>
    <t>May</t>
  </si>
  <si>
    <t>001-17-000048</t>
  </si>
  <si>
    <t>Construction of Karaga Mantapa at Yelahanka Lake in ward no 01</t>
  </si>
  <si>
    <t>Y.B.Ramesh</t>
  </si>
  <si>
    <t>P2415</t>
  </si>
  <si>
    <t>Reserve fund for TandF Committee</t>
  </si>
  <si>
    <t>001-16-000003</t>
  </si>
  <si>
    <t>Consultancy Services for preparation of detailed Survey, Designs, Drawings, Estimate, Bid Document, Bill of Quantities for the Work of Construction of Samudhaya Bhavana and Gym at Yelahanka Old Town in ward No.01</t>
  </si>
  <si>
    <t>Sri.Karthik Rechan R</t>
  </si>
  <si>
    <t>P3089</t>
  </si>
  <si>
    <t>Special Development works in 7 CMC and 1 TMC area in BBMP</t>
  </si>
  <si>
    <t>001-17-000047</t>
  </si>
  <si>
    <t>Providing Aerial bunch cable and Additional Street lighting and automatic Timer controler to Major roads by using Released Tubular poles to Yelahanka Constituency area in Ward No 01 to 04</t>
  </si>
  <si>
    <t>M/s Sri Lakshmivaradaraja Electrical Stores</t>
  </si>
  <si>
    <t>P1517</t>
  </si>
  <si>
    <t>Upgrading Street Lighting of Bangalore - Major Roads</t>
  </si>
  <si>
    <t>July</t>
  </si>
  <si>
    <t>001-18-000062</t>
  </si>
  <si>
    <t>Improvements to roads and drains at Jayamuni Layout and Venkatala surrounding areas in ward No 01</t>
  </si>
  <si>
    <t>Sri.Y.B.Ramesh</t>
  </si>
  <si>
    <t>P1878</t>
  </si>
  <si>
    <t>18per - Works (Bhagyajyothi, Sooru / Neeru Yojane and General) (54 Lakhs / New Wards)</t>
  </si>
  <si>
    <t>001-17-000046</t>
  </si>
  <si>
    <t>Special Repairs to the Pathway lighting in doddabommasandra Park</t>
  </si>
  <si>
    <t>M/s Vijayalakshmi Associates</t>
  </si>
  <si>
    <t>001-18-000026</t>
  </si>
  <si>
    <t>Providing Additional electrical fittings Timers Control wires Poles etc., at new zones for Yelahanka assembly constituency ( Ward 1 to 4)</t>
  </si>
  <si>
    <t>Technical manager</t>
  </si>
  <si>
    <t>P3255</t>
  </si>
  <si>
    <t>Providing Additional Electrical Fittings at New zonesand110 Villages ( Rs.60.00 Lakhs each zone)</t>
  </si>
  <si>
    <t>001-18-000027</t>
  </si>
  <si>
    <t>Providing LED lights to 3rd main Maruthi Nagara and surrounding area in ward no 01</t>
  </si>
  <si>
    <t>P0190</t>
  </si>
  <si>
    <t>Works sanctioned by Hon Mayor</t>
  </si>
  <si>
    <t>001-18-000028</t>
  </si>
  <si>
    <t>Providing LED lights to Surabhi Layout 1st and 2nd main road and surrounding area in ward no 01</t>
  </si>
  <si>
    <t>001-18-000029</t>
  </si>
  <si>
    <t>Providing LED lights to Venkatala Venkatappa layoaut and surrounding area in ward no 01</t>
  </si>
  <si>
    <t>Technical Manager Karnataka Rural Infrastructer devlopment ltd</t>
  </si>
  <si>
    <t>001-18-000030</t>
  </si>
  <si>
    <t>Providing LED lights to Government Hospital road and surrounding area in ward no 01</t>
  </si>
  <si>
    <t>Technical Manager Karnataka Infrastructure Development Ltd</t>
  </si>
  <si>
    <t>001-18-000031</t>
  </si>
  <si>
    <t>Providing LED lights toHosa Beedi and surrounding area in ward no 01</t>
  </si>
  <si>
    <t xml:space="preserve">Technical Manger </t>
  </si>
  <si>
    <t>001-18-000032</t>
  </si>
  <si>
    <t>Providing LED lights to Down Bazaar road and surrounding area in ward no 01</t>
  </si>
  <si>
    <t>Technical Manger Karnataka Rural infrastrcture Development LTD</t>
  </si>
  <si>
    <t>001-18-000033</t>
  </si>
  <si>
    <t>Providing LED lights to Neharu Nagara road and surrounding area in ward no 01</t>
  </si>
  <si>
    <t>Technical Manger Karnataka rural infrastructure Development LTD</t>
  </si>
  <si>
    <t>001-18-000034</t>
  </si>
  <si>
    <t>Providing LED lights to Maruthi Nagara 2nd main and surrounding area in ward no 01</t>
  </si>
  <si>
    <t>Technical Manger Karnatak Rural Infrastructure Development LTD</t>
  </si>
  <si>
    <t>001-18-000087</t>
  </si>
  <si>
    <t>Providing LED Street lights to Kempegowda ward no 01 in Yelahanka Sub Division</t>
  </si>
  <si>
    <t>THE TECHNICAL MANGER (BBMP) KRIDL</t>
  </si>
  <si>
    <t>P3261</t>
  </si>
  <si>
    <t>Zone Works Special Grants to Womens represented wards Rs.20.00 Lakhs per ward</t>
  </si>
  <si>
    <t>001-18-000012</t>
  </si>
  <si>
    <t>Maintenance of Existing borewells and pipe lines in and around areas of ward No 01 of Yelahank sub division</t>
  </si>
  <si>
    <t>Rajanna</t>
  </si>
  <si>
    <t>001-18-000014</t>
  </si>
  <si>
    <t>Supply of water through water tanker in ward No 01 of Yelahanka sub division</t>
  </si>
  <si>
    <t>001-13-000004</t>
  </si>
  <si>
    <t>Widening of Jakkur Road near Raithra Sante From NH-7 upto SWD in Yelahanka</t>
  </si>
  <si>
    <t>M/s Satya Constructions</t>
  </si>
  <si>
    <t>P2786</t>
  </si>
  <si>
    <t>Widening and strengthening of road at Kempegowda Ward</t>
  </si>
  <si>
    <t>001-17-000026</t>
  </si>
  <si>
    <t>Provide Grant in Aid to National Festivals in ward No 01 of Yelahanka Sub Division</t>
  </si>
  <si>
    <t>G.Muniraju (KBS Engineering Works)</t>
  </si>
  <si>
    <t>August</t>
  </si>
  <si>
    <t>001-17-000022</t>
  </si>
  <si>
    <t>Improvements and Asphalting to roads at Bhadranna layout and sorrounding areas in ward No 01 of yelahanka Sub division</t>
  </si>
  <si>
    <t xml:space="preserve">B.R.Dhananjaya, </t>
  </si>
  <si>
    <t>001-17-000021</t>
  </si>
  <si>
    <t>Improvements and Asphalting to roads at Kondappa garden in ward No 01 of yelahanka Sub division</t>
  </si>
  <si>
    <t>001-18-000016</t>
  </si>
  <si>
    <t>Improvements to roads and drains at Surabhi layout church road and surrounidng areas in ward no 01 of Yelahanka Sub Division</t>
  </si>
  <si>
    <t xml:space="preserve">B.P.Mahesh, </t>
  </si>
  <si>
    <t>P3329</t>
  </si>
  <si>
    <t>Special Development works at Wards (70 wards Rs.1.00 Cr. Each) - Ward Numbers as per Budget Book 2017-18 page no. 109</t>
  </si>
  <si>
    <t>001-18-000001</t>
  </si>
  <si>
    <t>Improvements and Interior works to Karagamantapa and Improvements to Kalyani surrounding areas at Yelahanka kalyani in ward no 01</t>
  </si>
  <si>
    <t>B.P.Mahesh</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</si>
  <si>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</si>
  <si>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</si>
  <si>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001-17-000029</t>
  </si>
  <si>
    <t>supply of water through water tanker in ward No 01 of yelahanka Sub division</t>
  </si>
  <si>
    <t>001-17-000023</t>
  </si>
  <si>
    <t>Improvements and Asphalting to roads at Jayanna layout and sorrounding areas in ward No 01 of yelahanka Sub division</t>
  </si>
  <si>
    <t>001-11-000060</t>
  </si>
  <si>
    <t>Setting up and operation of Nisurgruna Bio-gas plant for Bio degredable waste of 5MT capacity based on Bhabha Atomic Research centre technology in ward no 01, Kenchenahalli Village, Kempegowda</t>
  </si>
  <si>
    <t>M/s Ashoka Biogreen Pvt Ltd</t>
  </si>
  <si>
    <t>P2200</t>
  </si>
  <si>
    <t>Works to be taken up under 13th Finance Commission</t>
  </si>
  <si>
    <t>ddo326</t>
  </si>
  <si>
    <t xml:space="preserve"> Executive Engineer SWM 1 Central Zone</t>
  </si>
  <si>
    <t>September</t>
  </si>
  <si>
    <t>001-16-000017</t>
  </si>
  <si>
    <t>Providing toilet partitions and supplying furnitures to Corporator rooms in ward No 01 of yelahanka Sub Division</t>
  </si>
  <si>
    <t>Mangunatha.A.V</t>
  </si>
  <si>
    <t>November</t>
  </si>
  <si>
    <t>001-19-000046</t>
  </si>
  <si>
    <t>Consultancy Services for Preparation of Survey, Designs, Drawing, Estimate preparation etc., Detailed project Report (D.P.R) for the work of Construction of CC drain and development work in ward No:01 (Package-01)</t>
  </si>
  <si>
    <t xml:space="preserve">M/s. Silicon consulting Engineers, Prop. Krian.R </t>
  </si>
  <si>
    <t>October</t>
  </si>
  <si>
    <t>001-18-000025</t>
  </si>
  <si>
    <t>Improvements to roads and drains at Nehru Nagara and surrounding areas in ward no 01 of Yelahanka Sub Division</t>
  </si>
  <si>
    <t>Technical Manager (West) KRIDL, Bangaluru</t>
  </si>
  <si>
    <t>P2178</t>
  </si>
  <si>
    <t>Works sanctioned by Dy. Mayor</t>
  </si>
  <si>
    <t>001-18-000023</t>
  </si>
  <si>
    <t>Improvements to roads and drains at Vikas layout Maruthiunagara surrounding areas in ward no 01 of Yelahanka Sub Division</t>
  </si>
  <si>
    <t>001-18-000024</t>
  </si>
  <si>
    <t>Improvements to roads and drains at Surabhi Layout and Church surrounding areas in ward no 01 of Yelahanka Sub Division</t>
  </si>
  <si>
    <t>001-18-000063</t>
  </si>
  <si>
    <t>Balance works for the construction of Additional class rooom toilet and Upgradation of existing 1st and 2nd floor Yelahanka Government Degree College Yelahanka in ward no 01</t>
  </si>
  <si>
    <t>Sri.CNS Murthy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</si>
</sst>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0"/>
      <color theme="1"/>
      <name val="Calibri"/>
      <family val="2"/>
      <scheme val="minor"/>
    </font>
    <font>
      <b/>
      <sz val="8"/>
      <color theme="1"/>
      <name val="Verdana"/>
      <family val="2"/>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horizontal="center" vertical="center"/>
    </xf>
    <xf numFmtId="0" fontId="1"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0" fillId="0" borderId="0" xfId="0" applyAlignment="1">
      <alignment horizontal="center"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tabSelected="1" workbookViewId="0">
      <selection activeCell="E6" sqref="E6"/>
    </sheetView>
  </sheetViews>
  <sheetFormatPr defaultRowHeight="14.5" x14ac:dyDescent="0.35"/>
  <cols>
    <col min="1" max="1" width="5.36328125" bestFit="1" customWidth="1"/>
    <col min="2" max="2" width="8.81640625" bestFit="1" customWidth="1"/>
    <col min="3" max="3" width="8.6328125" bestFit="1" customWidth="1"/>
    <col min="4" max="4" width="8.36328125" bestFit="1" customWidth="1"/>
    <col min="5" max="5" width="16.26953125" bestFit="1" customWidth="1"/>
    <col min="6" max="6" width="12.08984375" style="11" bestFit="1" customWidth="1"/>
    <col min="7" max="7" width="16.54296875" customWidth="1"/>
    <col min="16" max="16" width="9.54296875" bestFit="1" customWidth="1"/>
    <col min="21" max="21" width="9.54296875" bestFit="1" customWidth="1"/>
    <col min="27" max="27" width="16.81640625" customWidth="1"/>
  </cols>
  <sheetData>
    <row r="1" spans="1:28" s="1" customFormat="1" ht="23.5" customHeight="1" x14ac:dyDescent="0.35">
      <c r="A1" s="3" t="s">
        <v>0</v>
      </c>
      <c r="B1" s="3" t="s">
        <v>1</v>
      </c>
      <c r="C1" s="3" t="s">
        <v>2</v>
      </c>
      <c r="D1" s="3" t="s">
        <v>3</v>
      </c>
      <c r="E1" s="4" t="s">
        <v>4</v>
      </c>
      <c r="F1" s="3" t="s">
        <v>5</v>
      </c>
      <c r="G1" s="3" t="s">
        <v>6</v>
      </c>
      <c r="H1" s="4" t="s">
        <v>7</v>
      </c>
      <c r="I1" s="4" t="s">
        <v>8</v>
      </c>
      <c r="J1" s="4" t="s">
        <v>9</v>
      </c>
      <c r="K1" s="4" t="s">
        <v>10</v>
      </c>
      <c r="L1" s="4" t="s">
        <v>11</v>
      </c>
      <c r="M1" s="4" t="s">
        <v>12</v>
      </c>
      <c r="N1" s="4" t="s">
        <v>13</v>
      </c>
      <c r="O1" s="3" t="s">
        <v>14</v>
      </c>
      <c r="P1" s="3" t="s">
        <v>15</v>
      </c>
      <c r="Q1" s="4" t="s">
        <v>16</v>
      </c>
      <c r="R1" s="4" t="s">
        <v>17</v>
      </c>
      <c r="S1" s="4" t="s">
        <v>18</v>
      </c>
      <c r="T1" s="4" t="s">
        <v>19</v>
      </c>
      <c r="U1" s="3" t="s">
        <v>20</v>
      </c>
      <c r="V1" s="4" t="s">
        <v>21</v>
      </c>
      <c r="W1" s="4" t="s">
        <v>22</v>
      </c>
      <c r="X1" s="3" t="s">
        <v>23</v>
      </c>
      <c r="Y1" s="4" t="s">
        <v>24</v>
      </c>
      <c r="Z1" s="4" t="s">
        <v>25</v>
      </c>
      <c r="AA1" s="4" t="s">
        <v>26</v>
      </c>
      <c r="AB1" s="4" t="s">
        <v>27</v>
      </c>
    </row>
    <row r="2" spans="1:28" s="2" customFormat="1" ht="13" x14ac:dyDescent="0.3">
      <c r="A2" s="5">
        <v>1</v>
      </c>
      <c r="B2" s="6" t="s">
        <v>28</v>
      </c>
      <c r="C2" s="7">
        <v>43566</v>
      </c>
      <c r="D2" s="8">
        <v>1</v>
      </c>
      <c r="E2" s="9" t="s">
        <v>29</v>
      </c>
      <c r="F2" s="8" t="s">
        <v>30</v>
      </c>
      <c r="G2" s="9" t="s">
        <v>31</v>
      </c>
      <c r="H2" s="8" t="str">
        <f>"000096"</f>
        <v>000096</v>
      </c>
      <c r="I2" s="7">
        <v>43103</v>
      </c>
      <c r="J2" s="8" t="str">
        <f>"000047"</f>
        <v>000047</v>
      </c>
      <c r="K2" s="7">
        <v>43130</v>
      </c>
      <c r="L2" s="8" t="str">
        <f>"000019"</f>
        <v>000019</v>
      </c>
      <c r="M2" s="7">
        <v>43265</v>
      </c>
      <c r="N2" s="8">
        <v>17</v>
      </c>
      <c r="O2" s="8" t="str">
        <f>"000171"</f>
        <v>000171</v>
      </c>
      <c r="P2" s="7">
        <v>43563</v>
      </c>
      <c r="Q2" s="10">
        <v>6.5786699999999998</v>
      </c>
      <c r="R2" s="10">
        <v>0.26973999999999998</v>
      </c>
      <c r="S2" s="10">
        <v>6.3089300000000001</v>
      </c>
      <c r="T2" s="8">
        <v>11</v>
      </c>
      <c r="U2" s="7">
        <v>43566</v>
      </c>
      <c r="V2" s="8">
        <v>9980326667</v>
      </c>
      <c r="W2" s="9" t="s">
        <v>32</v>
      </c>
      <c r="X2" s="8" t="s">
        <v>33</v>
      </c>
      <c r="Y2" s="9" t="s">
        <v>34</v>
      </c>
      <c r="Z2" s="8" t="s">
        <v>35</v>
      </c>
      <c r="AA2" s="9" t="s">
        <v>36</v>
      </c>
      <c r="AB2" s="10">
        <f t="shared" ref="AB2:AB13" si="0">Q2/100</f>
        <v>6.5786700000000004E-2</v>
      </c>
    </row>
    <row r="3" spans="1:28" s="2" customFormat="1" ht="13" x14ac:dyDescent="0.3">
      <c r="A3" s="5">
        <v>2</v>
      </c>
      <c r="B3" s="6" t="s">
        <v>28</v>
      </c>
      <c r="C3" s="7">
        <v>43566</v>
      </c>
      <c r="D3" s="8">
        <v>1</v>
      </c>
      <c r="E3" s="9" t="s">
        <v>29</v>
      </c>
      <c r="F3" s="8" t="s">
        <v>30</v>
      </c>
      <c r="G3" s="9" t="s">
        <v>31</v>
      </c>
      <c r="H3" s="8" t="str">
        <f>"000096"</f>
        <v>000096</v>
      </c>
      <c r="I3" s="7">
        <v>43103</v>
      </c>
      <c r="J3" s="8" t="str">
        <f>"000047"</f>
        <v>000047</v>
      </c>
      <c r="K3" s="7">
        <v>43130</v>
      </c>
      <c r="L3" s="8" t="str">
        <f>"000019"</f>
        <v>000019</v>
      </c>
      <c r="M3" s="7">
        <v>43265</v>
      </c>
      <c r="N3" s="8">
        <v>17</v>
      </c>
      <c r="O3" s="8" t="str">
        <f>"000171"</f>
        <v>000171</v>
      </c>
      <c r="P3" s="7">
        <v>43563</v>
      </c>
      <c r="Q3" s="10">
        <v>3.17598</v>
      </c>
      <c r="R3" s="10">
        <v>0.13022</v>
      </c>
      <c r="S3" s="10">
        <v>3.04576</v>
      </c>
      <c r="T3" s="8">
        <v>11</v>
      </c>
      <c r="U3" s="7">
        <v>43566</v>
      </c>
      <c r="V3" s="8">
        <v>9980326667</v>
      </c>
      <c r="W3" s="9" t="s">
        <v>32</v>
      </c>
      <c r="X3" s="8" t="s">
        <v>33</v>
      </c>
      <c r="Y3" s="9" t="s">
        <v>34</v>
      </c>
      <c r="Z3" s="8" t="s">
        <v>35</v>
      </c>
      <c r="AA3" s="9" t="s">
        <v>36</v>
      </c>
      <c r="AB3" s="10">
        <f t="shared" si="0"/>
        <v>3.1759799999999998E-2</v>
      </c>
    </row>
    <row r="4" spans="1:28" s="2" customFormat="1" ht="13" x14ac:dyDescent="0.3">
      <c r="A4" s="5">
        <v>3</v>
      </c>
      <c r="B4" s="6" t="s">
        <v>28</v>
      </c>
      <c r="C4" s="7">
        <v>43567</v>
      </c>
      <c r="D4" s="8">
        <v>1</v>
      </c>
      <c r="E4" s="9" t="s">
        <v>29</v>
      </c>
      <c r="F4" s="8" t="s">
        <v>37</v>
      </c>
      <c r="G4" s="9" t="s">
        <v>38</v>
      </c>
      <c r="H4" s="8" t="str">
        <f>"000031"</f>
        <v>000031</v>
      </c>
      <c r="I4" s="7">
        <v>42772</v>
      </c>
      <c r="J4" s="8" t="str">
        <f>"000033"</f>
        <v>000033</v>
      </c>
      <c r="K4" s="7">
        <v>43116</v>
      </c>
      <c r="L4" s="8" t="str">
        <f>"000033"</f>
        <v>000033</v>
      </c>
      <c r="M4" s="7">
        <v>43116</v>
      </c>
      <c r="N4" s="8">
        <v>16</v>
      </c>
      <c r="O4" s="8" t="str">
        <f>"000338"</f>
        <v>000338</v>
      </c>
      <c r="P4" s="7">
        <v>43566</v>
      </c>
      <c r="Q4" s="10">
        <v>10.654730000000001</v>
      </c>
      <c r="R4" s="10">
        <v>0.74743999999999999</v>
      </c>
      <c r="S4" s="10">
        <v>9.9072899999999997</v>
      </c>
      <c r="T4" s="8">
        <v>17</v>
      </c>
      <c r="U4" s="7">
        <v>43567</v>
      </c>
      <c r="V4" s="8">
        <v>9060589769</v>
      </c>
      <c r="W4" s="9" t="s">
        <v>39</v>
      </c>
      <c r="X4" s="8" t="s">
        <v>40</v>
      </c>
      <c r="Y4" s="9" t="s">
        <v>41</v>
      </c>
      <c r="Z4" s="8" t="s">
        <v>42</v>
      </c>
      <c r="AA4" s="9" t="s">
        <v>43</v>
      </c>
      <c r="AB4" s="10">
        <f t="shared" si="0"/>
        <v>0.10654730000000001</v>
      </c>
    </row>
    <row r="5" spans="1:28" s="2" customFormat="1" ht="13" x14ac:dyDescent="0.3">
      <c r="A5" s="5">
        <v>4</v>
      </c>
      <c r="B5" s="6" t="s">
        <v>28</v>
      </c>
      <c r="C5" s="7">
        <v>43567</v>
      </c>
      <c r="D5" s="8">
        <v>1</v>
      </c>
      <c r="E5" s="9" t="s">
        <v>29</v>
      </c>
      <c r="F5" s="8" t="s">
        <v>37</v>
      </c>
      <c r="G5" s="9" t="s">
        <v>38</v>
      </c>
      <c r="H5" s="8" t="str">
        <f>"000031"</f>
        <v>000031</v>
      </c>
      <c r="I5" s="7">
        <v>42772</v>
      </c>
      <c r="J5" s="8" t="str">
        <f>"000033"</f>
        <v>000033</v>
      </c>
      <c r="K5" s="7">
        <v>43116</v>
      </c>
      <c r="L5" s="8" t="str">
        <f>"000033"</f>
        <v>000033</v>
      </c>
      <c r="M5" s="7">
        <v>43116</v>
      </c>
      <c r="N5" s="8">
        <v>16</v>
      </c>
      <c r="O5" s="8" t="str">
        <f>"000338"</f>
        <v>000338</v>
      </c>
      <c r="P5" s="7">
        <v>43566</v>
      </c>
      <c r="Q5" s="10">
        <v>10.654730000000001</v>
      </c>
      <c r="R5" s="10">
        <v>1.03708</v>
      </c>
      <c r="S5" s="10">
        <v>9.6176499999999994</v>
      </c>
      <c r="T5" s="8">
        <v>17</v>
      </c>
      <c r="U5" s="7">
        <v>43567</v>
      </c>
      <c r="V5" s="8">
        <v>9060589769</v>
      </c>
      <c r="W5" s="9" t="s">
        <v>39</v>
      </c>
      <c r="X5" s="8" t="s">
        <v>40</v>
      </c>
      <c r="Y5" s="9" t="s">
        <v>41</v>
      </c>
      <c r="Z5" s="8" t="s">
        <v>42</v>
      </c>
      <c r="AA5" s="9" t="s">
        <v>43</v>
      </c>
      <c r="AB5" s="10">
        <f t="shared" si="0"/>
        <v>0.10654730000000001</v>
      </c>
    </row>
    <row r="6" spans="1:28" s="2" customFormat="1" ht="13" x14ac:dyDescent="0.3">
      <c r="A6" s="5">
        <v>5</v>
      </c>
      <c r="B6" s="6" t="s">
        <v>28</v>
      </c>
      <c r="C6" s="7">
        <v>43571</v>
      </c>
      <c r="D6" s="8">
        <v>1</v>
      </c>
      <c r="E6" s="9" t="s">
        <v>29</v>
      </c>
      <c r="F6" s="8" t="s">
        <v>44</v>
      </c>
      <c r="G6" s="9" t="s">
        <v>45</v>
      </c>
      <c r="H6" s="8" t="str">
        <f>"000006"</f>
        <v>000006</v>
      </c>
      <c r="I6" s="7">
        <v>43424</v>
      </c>
      <c r="J6" s="8" t="str">
        <f>"000167"</f>
        <v>000167</v>
      </c>
      <c r="K6" s="7">
        <v>43526</v>
      </c>
      <c r="L6" s="8" t="str">
        <f>"000167"</f>
        <v>000167</v>
      </c>
      <c r="M6" s="7">
        <v>43526</v>
      </c>
      <c r="N6" s="8">
        <v>17</v>
      </c>
      <c r="O6" s="8" t="str">
        <f>"000653"</f>
        <v>000653</v>
      </c>
      <c r="P6" s="7">
        <v>43570</v>
      </c>
      <c r="Q6" s="10">
        <v>23.85097</v>
      </c>
      <c r="R6" s="10">
        <v>0.95540999999999998</v>
      </c>
      <c r="S6" s="10">
        <v>22.89556</v>
      </c>
      <c r="T6" s="8">
        <v>18</v>
      </c>
      <c r="U6" s="7">
        <v>43571</v>
      </c>
      <c r="V6" s="8">
        <v>9845449405</v>
      </c>
      <c r="W6" s="9" t="s">
        <v>46</v>
      </c>
      <c r="X6" s="8" t="s">
        <v>47</v>
      </c>
      <c r="Y6" s="9" t="s">
        <v>48</v>
      </c>
      <c r="Z6" s="8" t="s">
        <v>49</v>
      </c>
      <c r="AA6" s="9" t="s">
        <v>50</v>
      </c>
      <c r="AB6" s="10">
        <f t="shared" si="0"/>
        <v>0.23850969999999999</v>
      </c>
    </row>
    <row r="7" spans="1:28" s="2" customFormat="1" ht="13" x14ac:dyDescent="0.3">
      <c r="A7" s="5">
        <v>6</v>
      </c>
      <c r="B7" s="6" t="s">
        <v>28</v>
      </c>
      <c r="C7" s="7">
        <v>43575</v>
      </c>
      <c r="D7" s="8">
        <v>1</v>
      </c>
      <c r="E7" s="9" t="s">
        <v>29</v>
      </c>
      <c r="F7" s="8" t="s">
        <v>37</v>
      </c>
      <c r="G7" s="9" t="s">
        <v>38</v>
      </c>
      <c r="H7" s="8" t="str">
        <f>"000031"</f>
        <v>000031</v>
      </c>
      <c r="I7" s="7">
        <v>42772</v>
      </c>
      <c r="J7" s="8" t="str">
        <f>"000033"</f>
        <v>000033</v>
      </c>
      <c r="K7" s="7">
        <v>43116</v>
      </c>
      <c r="L7" s="8" t="str">
        <f>"000033"</f>
        <v>000033</v>
      </c>
      <c r="M7" s="7">
        <v>43116</v>
      </c>
      <c r="N7" s="8">
        <v>16</v>
      </c>
      <c r="O7" s="8" t="str">
        <f>"000338"</f>
        <v>000338</v>
      </c>
      <c r="P7" s="7">
        <v>43566</v>
      </c>
      <c r="Q7" s="10">
        <v>7.2676400000000001</v>
      </c>
      <c r="R7" s="10">
        <v>0.87172000000000005</v>
      </c>
      <c r="S7" s="10">
        <v>6.3959200000000003</v>
      </c>
      <c r="T7" s="8">
        <v>20</v>
      </c>
      <c r="U7" s="7">
        <v>43575</v>
      </c>
      <c r="V7" s="8">
        <v>9060589769</v>
      </c>
      <c r="W7" s="9" t="s">
        <v>39</v>
      </c>
      <c r="X7" s="8" t="s">
        <v>40</v>
      </c>
      <c r="Y7" s="9" t="s">
        <v>41</v>
      </c>
      <c r="Z7" s="8" t="s">
        <v>42</v>
      </c>
      <c r="AA7" s="9" t="s">
        <v>43</v>
      </c>
      <c r="AB7" s="10">
        <f t="shared" si="0"/>
        <v>7.2676400000000002E-2</v>
      </c>
    </row>
    <row r="8" spans="1:28" s="2" customFormat="1" ht="13" x14ac:dyDescent="0.3">
      <c r="A8" s="5">
        <v>7</v>
      </c>
      <c r="B8" s="6" t="s">
        <v>28</v>
      </c>
      <c r="C8" s="7">
        <v>43580</v>
      </c>
      <c r="D8" s="8">
        <v>1</v>
      </c>
      <c r="E8" s="9" t="s">
        <v>29</v>
      </c>
      <c r="F8" s="8" t="s">
        <v>37</v>
      </c>
      <c r="G8" s="9" t="s">
        <v>38</v>
      </c>
      <c r="H8" s="8" t="str">
        <f>"000031"</f>
        <v>000031</v>
      </c>
      <c r="I8" s="7">
        <v>42772</v>
      </c>
      <c r="J8" s="8" t="str">
        <f>"000033"</f>
        <v>000033</v>
      </c>
      <c r="K8" s="7">
        <v>43116</v>
      </c>
      <c r="L8" s="8" t="str">
        <f>"000033"</f>
        <v>000033</v>
      </c>
      <c r="M8" s="7">
        <v>43116</v>
      </c>
      <c r="N8" s="8">
        <v>16</v>
      </c>
      <c r="O8" s="8" t="str">
        <f>"000338"</f>
        <v>000338</v>
      </c>
      <c r="P8" s="7">
        <v>43566</v>
      </c>
      <c r="Q8" s="10">
        <v>3.6338200000000001</v>
      </c>
      <c r="R8" s="10">
        <v>0.66559000000000001</v>
      </c>
      <c r="S8" s="10">
        <v>2.9682300000000001</v>
      </c>
      <c r="T8" s="8">
        <v>29</v>
      </c>
      <c r="U8" s="7">
        <v>43580</v>
      </c>
      <c r="V8" s="8">
        <v>9060589769</v>
      </c>
      <c r="W8" s="9" t="s">
        <v>39</v>
      </c>
      <c r="X8" s="8" t="s">
        <v>40</v>
      </c>
      <c r="Y8" s="9" t="s">
        <v>41</v>
      </c>
      <c r="Z8" s="8" t="s">
        <v>42</v>
      </c>
      <c r="AA8" s="9" t="s">
        <v>43</v>
      </c>
      <c r="AB8" s="10">
        <f t="shared" si="0"/>
        <v>3.6338200000000001E-2</v>
      </c>
    </row>
    <row r="9" spans="1:28" s="2" customFormat="1" ht="13" x14ac:dyDescent="0.3">
      <c r="A9" s="5">
        <v>8</v>
      </c>
      <c r="B9" s="6" t="s">
        <v>65</v>
      </c>
      <c r="C9" s="7">
        <v>43602</v>
      </c>
      <c r="D9" s="8">
        <v>1</v>
      </c>
      <c r="E9" s="9" t="s">
        <v>29</v>
      </c>
      <c r="F9" s="8" t="s">
        <v>66</v>
      </c>
      <c r="G9" s="9" t="s">
        <v>67</v>
      </c>
      <c r="H9" s="8" t="str">
        <f>"000017"</f>
        <v>000017</v>
      </c>
      <c r="I9" s="7">
        <v>42986</v>
      </c>
      <c r="J9" s="8" t="str">
        <f>"000004"</f>
        <v>000004</v>
      </c>
      <c r="K9" s="7">
        <v>42986</v>
      </c>
      <c r="L9" s="8" t="str">
        <f>"000008"</f>
        <v>000008</v>
      </c>
      <c r="M9" s="7">
        <v>42989</v>
      </c>
      <c r="N9" s="8">
        <v>17</v>
      </c>
      <c r="O9" s="8" t="str">
        <f>"001535"</f>
        <v>001535</v>
      </c>
      <c r="P9" s="7">
        <v>43599</v>
      </c>
      <c r="Q9" s="10">
        <v>35.954470000000001</v>
      </c>
      <c r="R9" s="10">
        <v>1.89273</v>
      </c>
      <c r="S9" s="10">
        <v>34.06174</v>
      </c>
      <c r="T9" s="8">
        <v>49</v>
      </c>
      <c r="U9" s="7">
        <v>43602</v>
      </c>
      <c r="V9" s="8">
        <v>9611118200</v>
      </c>
      <c r="W9" s="9" t="s">
        <v>68</v>
      </c>
      <c r="X9" s="8" t="s">
        <v>69</v>
      </c>
      <c r="Y9" s="9" t="s">
        <v>70</v>
      </c>
      <c r="Z9" s="8" t="s">
        <v>35</v>
      </c>
      <c r="AA9" s="9" t="s">
        <v>36</v>
      </c>
      <c r="AB9" s="10">
        <f t="shared" si="0"/>
        <v>0.35954469999999999</v>
      </c>
    </row>
    <row r="10" spans="1:28" s="2" customFormat="1" ht="13" x14ac:dyDescent="0.3">
      <c r="A10" s="5">
        <v>9</v>
      </c>
      <c r="B10" s="6" t="s">
        <v>65</v>
      </c>
      <c r="C10" s="7">
        <v>43606</v>
      </c>
      <c r="D10" s="8">
        <v>1</v>
      </c>
      <c r="E10" s="9" t="s">
        <v>29</v>
      </c>
      <c r="F10" s="8" t="s">
        <v>37</v>
      </c>
      <c r="G10" s="9" t="s">
        <v>38</v>
      </c>
      <c r="H10" s="8" t="str">
        <f>"000031"</f>
        <v>000031</v>
      </c>
      <c r="I10" s="7">
        <v>42772</v>
      </c>
      <c r="J10" s="8" t="str">
        <f>"000033"</f>
        <v>000033</v>
      </c>
      <c r="K10" s="7">
        <v>43116</v>
      </c>
      <c r="L10" s="8" t="str">
        <f>"000033"</f>
        <v>000033</v>
      </c>
      <c r="M10" s="7">
        <v>43116</v>
      </c>
      <c r="N10" s="8">
        <v>16</v>
      </c>
      <c r="O10" s="8" t="str">
        <f>"000338"</f>
        <v>000338</v>
      </c>
      <c r="P10" s="7">
        <v>43566</v>
      </c>
      <c r="Q10" s="10">
        <v>6.2869200000000003</v>
      </c>
      <c r="R10" s="10">
        <v>0.74039999999999995</v>
      </c>
      <c r="S10" s="10">
        <v>5.5465200000000001</v>
      </c>
      <c r="T10" s="8">
        <v>55</v>
      </c>
      <c r="U10" s="7">
        <v>43606</v>
      </c>
      <c r="V10" s="8">
        <v>9060589769</v>
      </c>
      <c r="W10" s="9" t="s">
        <v>39</v>
      </c>
      <c r="X10" s="8" t="s">
        <v>40</v>
      </c>
      <c r="Y10" s="9" t="s">
        <v>41</v>
      </c>
      <c r="Z10" s="8" t="s">
        <v>42</v>
      </c>
      <c r="AA10" s="9" t="s">
        <v>43</v>
      </c>
      <c r="AB10" s="10">
        <f t="shared" si="0"/>
        <v>6.28692E-2</v>
      </c>
    </row>
    <row r="11" spans="1:28" s="2" customFormat="1" ht="13" x14ac:dyDescent="0.3">
      <c r="A11" s="5">
        <v>10</v>
      </c>
      <c r="B11" s="6" t="s">
        <v>65</v>
      </c>
      <c r="C11" s="7">
        <v>43606</v>
      </c>
      <c r="D11" s="8">
        <v>1</v>
      </c>
      <c r="E11" s="9" t="s">
        <v>29</v>
      </c>
      <c r="F11" s="8" t="s">
        <v>37</v>
      </c>
      <c r="G11" s="9" t="s">
        <v>38</v>
      </c>
      <c r="H11" s="8" t="str">
        <f>"000031"</f>
        <v>000031</v>
      </c>
      <c r="I11" s="7">
        <v>42772</v>
      </c>
      <c r="J11" s="8" t="str">
        <f>"000033"</f>
        <v>000033</v>
      </c>
      <c r="K11" s="7">
        <v>43116</v>
      </c>
      <c r="L11" s="8" t="str">
        <f>"000033"</f>
        <v>000033</v>
      </c>
      <c r="M11" s="7">
        <v>43116</v>
      </c>
      <c r="N11" s="8">
        <v>16</v>
      </c>
      <c r="O11" s="8" t="str">
        <f>"000338"</f>
        <v>000338</v>
      </c>
      <c r="P11" s="7">
        <v>43566</v>
      </c>
      <c r="Q11" s="10">
        <v>4.1134000000000004</v>
      </c>
      <c r="R11" s="10">
        <v>0.44777</v>
      </c>
      <c r="S11" s="10">
        <v>3.6656300000000002</v>
      </c>
      <c r="T11" s="8">
        <v>55</v>
      </c>
      <c r="U11" s="7">
        <v>43606</v>
      </c>
      <c r="V11" s="8">
        <v>9060589769</v>
      </c>
      <c r="W11" s="9" t="s">
        <v>39</v>
      </c>
      <c r="X11" s="8" t="s">
        <v>40</v>
      </c>
      <c r="Y11" s="9" t="s">
        <v>41</v>
      </c>
      <c r="Z11" s="8" t="s">
        <v>42</v>
      </c>
      <c r="AA11" s="9" t="s">
        <v>43</v>
      </c>
      <c r="AB11" s="10">
        <f t="shared" si="0"/>
        <v>4.1134000000000004E-2</v>
      </c>
    </row>
    <row r="12" spans="1:28" s="2" customFormat="1" ht="13" x14ac:dyDescent="0.3">
      <c r="A12" s="5">
        <v>11</v>
      </c>
      <c r="B12" s="6" t="s">
        <v>65</v>
      </c>
      <c r="C12" s="7">
        <v>43615</v>
      </c>
      <c r="D12" s="8">
        <v>1</v>
      </c>
      <c r="E12" s="9" t="s">
        <v>29</v>
      </c>
      <c r="F12" s="8" t="s">
        <v>71</v>
      </c>
      <c r="G12" s="9" t="s">
        <v>72</v>
      </c>
      <c r="H12" s="8" t="str">
        <f>"000013"</f>
        <v>000013</v>
      </c>
      <c r="I12" s="7">
        <v>42461</v>
      </c>
      <c r="J12" s="8" t="str">
        <f>"000004"</f>
        <v>000004</v>
      </c>
      <c r="K12" s="7">
        <v>42548</v>
      </c>
      <c r="L12" s="8" t="str">
        <f>"000004"</f>
        <v>000004</v>
      </c>
      <c r="M12" s="7">
        <v>42548</v>
      </c>
      <c r="N12" s="8">
        <v>16</v>
      </c>
      <c r="O12" s="8" t="str">
        <f>"002554"</f>
        <v>002554</v>
      </c>
      <c r="P12" s="7">
        <v>43265</v>
      </c>
      <c r="Q12" s="10">
        <v>1.9</v>
      </c>
      <c r="R12" s="10">
        <v>0.19</v>
      </c>
      <c r="S12" s="10">
        <v>1.71</v>
      </c>
      <c r="T12" s="8">
        <v>65</v>
      </c>
      <c r="U12" s="7">
        <v>43615</v>
      </c>
      <c r="V12" s="8">
        <v>9972924526</v>
      </c>
      <c r="W12" s="9" t="s">
        <v>73</v>
      </c>
      <c r="X12" s="8" t="s">
        <v>74</v>
      </c>
      <c r="Y12" s="9" t="s">
        <v>75</v>
      </c>
      <c r="Z12" s="8" t="s">
        <v>49</v>
      </c>
      <c r="AA12" s="9" t="s">
        <v>50</v>
      </c>
      <c r="AB12" s="10">
        <f t="shared" si="0"/>
        <v>1.9E-2</v>
      </c>
    </row>
    <row r="13" spans="1:28" s="2" customFormat="1" ht="13" x14ac:dyDescent="0.3">
      <c r="A13" s="5">
        <v>12</v>
      </c>
      <c r="B13" s="6" t="s">
        <v>65</v>
      </c>
      <c r="C13" s="7">
        <v>43615</v>
      </c>
      <c r="D13" s="8">
        <v>1</v>
      </c>
      <c r="E13" s="9" t="s">
        <v>29</v>
      </c>
      <c r="F13" s="8" t="s">
        <v>76</v>
      </c>
      <c r="G13" s="9" t="s">
        <v>77</v>
      </c>
      <c r="H13" s="8" t="str">
        <f>"000009"</f>
        <v>000009</v>
      </c>
      <c r="I13" s="7">
        <v>43069</v>
      </c>
      <c r="J13" s="8" t="str">
        <f>"000025"</f>
        <v>000025</v>
      </c>
      <c r="K13" s="7">
        <v>43069</v>
      </c>
      <c r="L13" s="8" t="str">
        <f>"000025"</f>
        <v>000025</v>
      </c>
      <c r="M13" s="7">
        <v>43069</v>
      </c>
      <c r="N13" s="8">
        <v>17</v>
      </c>
      <c r="O13" s="8" t="str">
        <f>"002216"</f>
        <v>002216</v>
      </c>
      <c r="P13" s="7">
        <v>43613</v>
      </c>
      <c r="Q13" s="10">
        <v>2.59727</v>
      </c>
      <c r="R13" s="10">
        <v>0.10648000000000001</v>
      </c>
      <c r="S13" s="10">
        <v>2.4907900000000001</v>
      </c>
      <c r="T13" s="8">
        <v>65</v>
      </c>
      <c r="U13" s="7">
        <v>43615</v>
      </c>
      <c r="V13" s="8">
        <v>9341423529</v>
      </c>
      <c r="W13" s="9" t="s">
        <v>78</v>
      </c>
      <c r="X13" s="8" t="s">
        <v>79</v>
      </c>
      <c r="Y13" s="9" t="s">
        <v>80</v>
      </c>
      <c r="Z13" s="8" t="s">
        <v>42</v>
      </c>
      <c r="AA13" s="9" t="s">
        <v>43</v>
      </c>
      <c r="AB13" s="10">
        <f t="shared" si="0"/>
        <v>2.5972700000000001E-2</v>
      </c>
    </row>
    <row r="14" spans="1:28" s="2" customFormat="1" ht="13" x14ac:dyDescent="0.3">
      <c r="A14" s="5">
        <v>13</v>
      </c>
      <c r="B14" s="6" t="s">
        <v>51</v>
      </c>
      <c r="C14" s="7">
        <v>43628</v>
      </c>
      <c r="D14" s="8">
        <v>1</v>
      </c>
      <c r="E14" s="9" t="s">
        <v>29</v>
      </c>
      <c r="F14" s="8" t="s">
        <v>52</v>
      </c>
      <c r="G14" s="9" t="s">
        <v>53</v>
      </c>
      <c r="H14" s="8" t="str">
        <f>"000031"</f>
        <v>000031</v>
      </c>
      <c r="I14" s="7">
        <v>43019</v>
      </c>
      <c r="J14" s="8" t="str">
        <f>"000023"</f>
        <v>000023</v>
      </c>
      <c r="K14" s="7">
        <v>43073</v>
      </c>
      <c r="L14" s="8" t="str">
        <f>"000040"</f>
        <v>000040</v>
      </c>
      <c r="M14" s="7">
        <v>43075</v>
      </c>
      <c r="N14" s="8">
        <v>17</v>
      </c>
      <c r="O14" s="8" t="str">
        <f>"002480"</f>
        <v>002480</v>
      </c>
      <c r="P14" s="7">
        <v>43622</v>
      </c>
      <c r="Q14" s="10">
        <v>3.7840699999999998</v>
      </c>
      <c r="R14" s="10">
        <v>0.15512999999999999</v>
      </c>
      <c r="S14" s="10">
        <v>3.6289400000000001</v>
      </c>
      <c r="T14" s="8">
        <v>76</v>
      </c>
      <c r="U14" s="7">
        <v>43628</v>
      </c>
      <c r="V14" s="8">
        <v>9632359909</v>
      </c>
      <c r="W14" s="9" t="s">
        <v>54</v>
      </c>
      <c r="X14" s="8" t="s">
        <v>55</v>
      </c>
      <c r="Y14" s="9" t="s">
        <v>56</v>
      </c>
      <c r="Z14" s="8" t="s">
        <v>35</v>
      </c>
      <c r="AA14" s="9" t="s">
        <v>36</v>
      </c>
      <c r="AB14" s="10">
        <v>3.7840699999999998E-2</v>
      </c>
    </row>
    <row r="15" spans="1:28" s="2" customFormat="1" ht="13" x14ac:dyDescent="0.3">
      <c r="A15" s="5">
        <v>14</v>
      </c>
      <c r="B15" s="6" t="s">
        <v>51</v>
      </c>
      <c r="C15" s="7">
        <v>43629</v>
      </c>
      <c r="D15" s="8">
        <v>1</v>
      </c>
      <c r="E15" s="9" t="s">
        <v>29</v>
      </c>
      <c r="F15" s="8" t="s">
        <v>57</v>
      </c>
      <c r="G15" s="9" t="s">
        <v>58</v>
      </c>
      <c r="H15" s="8" t="str">
        <f>"000059"</f>
        <v>000059</v>
      </c>
      <c r="I15" s="7">
        <v>43060</v>
      </c>
      <c r="J15" s="8" t="str">
        <f>"000032"</f>
        <v>000032</v>
      </c>
      <c r="K15" s="7">
        <v>43092</v>
      </c>
      <c r="L15" s="8" t="str">
        <f>"000054"</f>
        <v>000054</v>
      </c>
      <c r="M15" s="7">
        <v>43096</v>
      </c>
      <c r="N15" s="8">
        <v>17</v>
      </c>
      <c r="O15" s="8" t="str">
        <f>"002637"</f>
        <v>002637</v>
      </c>
      <c r="P15" s="7">
        <v>43627</v>
      </c>
      <c r="Q15" s="10">
        <v>18.12538</v>
      </c>
      <c r="R15" s="10">
        <v>0.78171000000000002</v>
      </c>
      <c r="S15" s="10">
        <v>17.343669999999999</v>
      </c>
      <c r="T15" s="8">
        <v>79</v>
      </c>
      <c r="U15" s="7">
        <v>43629</v>
      </c>
      <c r="V15" s="8">
        <v>9342041783</v>
      </c>
      <c r="W15" s="9" t="s">
        <v>59</v>
      </c>
      <c r="X15" s="8" t="s">
        <v>55</v>
      </c>
      <c r="Y15" s="9" t="s">
        <v>56</v>
      </c>
      <c r="Z15" s="8" t="s">
        <v>35</v>
      </c>
      <c r="AA15" s="9" t="s">
        <v>36</v>
      </c>
      <c r="AB15" s="10">
        <v>0.18125379999999999</v>
      </c>
    </row>
    <row r="16" spans="1:28" s="2" customFormat="1" ht="13" x14ac:dyDescent="0.3">
      <c r="A16" s="5">
        <v>15</v>
      </c>
      <c r="B16" s="6" t="s">
        <v>51</v>
      </c>
      <c r="C16" s="7">
        <v>43636</v>
      </c>
      <c r="D16" s="8">
        <v>1</v>
      </c>
      <c r="E16" s="9" t="s">
        <v>29</v>
      </c>
      <c r="F16" s="8" t="s">
        <v>60</v>
      </c>
      <c r="G16" s="9" t="s">
        <v>61</v>
      </c>
      <c r="H16" s="8" t="str">
        <f>"000008"</f>
        <v>000008</v>
      </c>
      <c r="I16" s="7">
        <v>43069</v>
      </c>
      <c r="J16" s="8" t="str">
        <f>"000024"</f>
        <v>000024</v>
      </c>
      <c r="K16" s="7">
        <v>43069</v>
      </c>
      <c r="L16" s="8" t="str">
        <f>"000024"</f>
        <v>000024</v>
      </c>
      <c r="M16" s="7">
        <v>43069</v>
      </c>
      <c r="N16" s="8">
        <v>17</v>
      </c>
      <c r="O16" s="8" t="str">
        <f>"002779"</f>
        <v>002779</v>
      </c>
      <c r="P16" s="7">
        <v>43633</v>
      </c>
      <c r="Q16" s="10">
        <v>2.21759</v>
      </c>
      <c r="R16" s="10">
        <v>0.11344</v>
      </c>
      <c r="S16" s="10">
        <v>2.1041500000000002</v>
      </c>
      <c r="T16" s="8">
        <v>89</v>
      </c>
      <c r="U16" s="7">
        <v>43636</v>
      </c>
      <c r="V16" s="8">
        <v>9341423529</v>
      </c>
      <c r="W16" s="9" t="s">
        <v>62</v>
      </c>
      <c r="X16" s="8" t="s">
        <v>63</v>
      </c>
      <c r="Y16" s="9" t="s">
        <v>64</v>
      </c>
      <c r="Z16" s="8" t="s">
        <v>42</v>
      </c>
      <c r="AA16" s="9" t="s">
        <v>43</v>
      </c>
      <c r="AB16" s="10">
        <v>2.2175899999999998E-2</v>
      </c>
    </row>
    <row r="17" spans="1:28" s="2" customFormat="1" ht="13" x14ac:dyDescent="0.3">
      <c r="A17" s="5">
        <v>16</v>
      </c>
      <c r="B17" s="6" t="s">
        <v>81</v>
      </c>
      <c r="C17" s="7">
        <v>43647</v>
      </c>
      <c r="D17" s="8">
        <v>1</v>
      </c>
      <c r="E17" s="9" t="s">
        <v>29</v>
      </c>
      <c r="F17" s="8" t="s">
        <v>82</v>
      </c>
      <c r="G17" s="12" t="s">
        <v>83</v>
      </c>
      <c r="H17" s="8" t="str">
        <f>"000041"</f>
        <v>000041</v>
      </c>
      <c r="I17" s="7">
        <v>43519</v>
      </c>
      <c r="J17" s="8" t="str">
        <f>"000003"</f>
        <v>000003</v>
      </c>
      <c r="K17" s="7">
        <v>43565</v>
      </c>
      <c r="L17" s="8" t="str">
        <f>"000003"</f>
        <v>000003</v>
      </c>
      <c r="M17" s="7">
        <v>43565</v>
      </c>
      <c r="N17" s="8">
        <v>18</v>
      </c>
      <c r="O17" s="8" t="str">
        <f>"002992"</f>
        <v>002992</v>
      </c>
      <c r="P17" s="7">
        <v>43640</v>
      </c>
      <c r="Q17" s="13">
        <v>108.82559999999999</v>
      </c>
      <c r="R17" s="13">
        <v>6.1680700000000002</v>
      </c>
      <c r="S17" s="13">
        <v>102.65752999999999</v>
      </c>
      <c r="T17" s="8">
        <v>97</v>
      </c>
      <c r="U17" s="7">
        <v>43647</v>
      </c>
      <c r="V17" s="8">
        <v>9611118200</v>
      </c>
      <c r="W17" s="12" t="s">
        <v>84</v>
      </c>
      <c r="X17" s="8" t="s">
        <v>85</v>
      </c>
      <c r="Y17" s="12" t="s">
        <v>86</v>
      </c>
      <c r="Z17" s="8" t="s">
        <v>49</v>
      </c>
      <c r="AA17" s="12" t="s">
        <v>50</v>
      </c>
      <c r="AB17" s="13">
        <f t="shared" ref="AB17:AB40" si="1">Q17/100</f>
        <v>1.0882559999999999</v>
      </c>
    </row>
    <row r="18" spans="1:28" s="2" customFormat="1" ht="13" x14ac:dyDescent="0.3">
      <c r="A18" s="5">
        <v>17</v>
      </c>
      <c r="B18" s="6" t="s">
        <v>81</v>
      </c>
      <c r="C18" s="7">
        <v>43648</v>
      </c>
      <c r="D18" s="8">
        <v>1</v>
      </c>
      <c r="E18" s="9" t="s">
        <v>29</v>
      </c>
      <c r="F18" s="8" t="s">
        <v>87</v>
      </c>
      <c r="G18" s="12" t="s">
        <v>88</v>
      </c>
      <c r="H18" s="8" t="str">
        <f>"000032"</f>
        <v>000032</v>
      </c>
      <c r="I18" s="7">
        <v>43182</v>
      </c>
      <c r="J18" s="8" t="str">
        <f>"000020"</f>
        <v>000020</v>
      </c>
      <c r="K18" s="7">
        <v>43225</v>
      </c>
      <c r="L18" s="8" t="str">
        <f>"000020"</f>
        <v>000020</v>
      </c>
      <c r="M18" s="7">
        <v>43225</v>
      </c>
      <c r="N18" s="8">
        <v>17</v>
      </c>
      <c r="O18" s="8" t="str">
        <f>"002930"</f>
        <v>002930</v>
      </c>
      <c r="P18" s="7">
        <v>43637</v>
      </c>
      <c r="Q18" s="13">
        <v>0.99490000000000001</v>
      </c>
      <c r="R18" s="13">
        <v>9.0539999999999995E-2</v>
      </c>
      <c r="S18" s="13">
        <v>0.90436000000000005</v>
      </c>
      <c r="T18" s="8">
        <v>103</v>
      </c>
      <c r="U18" s="7">
        <v>43648</v>
      </c>
      <c r="V18" s="8">
        <v>9945535033</v>
      </c>
      <c r="W18" s="12" t="s">
        <v>89</v>
      </c>
      <c r="X18" s="8" t="s">
        <v>63</v>
      </c>
      <c r="Y18" s="12" t="s">
        <v>64</v>
      </c>
      <c r="Z18" s="8" t="s">
        <v>42</v>
      </c>
      <c r="AA18" s="12" t="s">
        <v>43</v>
      </c>
      <c r="AB18" s="13">
        <f t="shared" si="1"/>
        <v>9.9489999999999995E-3</v>
      </c>
    </row>
    <row r="19" spans="1:28" s="2" customFormat="1" ht="13" x14ac:dyDescent="0.3">
      <c r="A19" s="5">
        <v>18</v>
      </c>
      <c r="B19" s="6" t="s">
        <v>81</v>
      </c>
      <c r="C19" s="7">
        <v>43663</v>
      </c>
      <c r="D19" s="8">
        <v>1</v>
      </c>
      <c r="E19" s="9" t="s">
        <v>29</v>
      </c>
      <c r="F19" s="8" t="s">
        <v>90</v>
      </c>
      <c r="G19" s="12" t="s">
        <v>91</v>
      </c>
      <c r="H19" s="8" t="str">
        <f>"000015"</f>
        <v>000015</v>
      </c>
      <c r="I19" s="7">
        <v>43158</v>
      </c>
      <c r="J19" s="8" t="str">
        <f>"000049"</f>
        <v>000049</v>
      </c>
      <c r="K19" s="7">
        <v>43186</v>
      </c>
      <c r="L19" s="8" t="str">
        <f>"000049"</f>
        <v>000049</v>
      </c>
      <c r="M19" s="7">
        <v>43186</v>
      </c>
      <c r="N19" s="8">
        <v>18</v>
      </c>
      <c r="O19" s="8" t="str">
        <f>"003422"</f>
        <v>003422</v>
      </c>
      <c r="P19" s="7">
        <v>43662</v>
      </c>
      <c r="Q19" s="13">
        <v>21.978929999999998</v>
      </c>
      <c r="R19" s="13">
        <v>2.3297699999999999</v>
      </c>
      <c r="S19" s="13">
        <v>19.649159999999998</v>
      </c>
      <c r="T19" s="8">
        <v>113</v>
      </c>
      <c r="U19" s="7">
        <v>43663</v>
      </c>
      <c r="V19" s="8">
        <v>9449863065</v>
      </c>
      <c r="W19" s="12" t="s">
        <v>92</v>
      </c>
      <c r="X19" s="8" t="s">
        <v>93</v>
      </c>
      <c r="Y19" s="12" t="s">
        <v>94</v>
      </c>
      <c r="Z19" s="8" t="s">
        <v>42</v>
      </c>
      <c r="AA19" s="12" t="s">
        <v>43</v>
      </c>
      <c r="AB19" s="13">
        <f t="shared" si="1"/>
        <v>0.21978929999999999</v>
      </c>
    </row>
    <row r="20" spans="1:28" s="2" customFormat="1" ht="13" x14ac:dyDescent="0.3">
      <c r="A20" s="5">
        <v>19</v>
      </c>
      <c r="B20" s="6" t="s">
        <v>81</v>
      </c>
      <c r="C20" s="7">
        <v>43663</v>
      </c>
      <c r="D20" s="8">
        <v>1</v>
      </c>
      <c r="E20" s="9" t="s">
        <v>29</v>
      </c>
      <c r="F20" s="8" t="s">
        <v>95</v>
      </c>
      <c r="G20" s="12" t="s">
        <v>96</v>
      </c>
      <c r="H20" s="8" t="str">
        <f>"000017"</f>
        <v>000017</v>
      </c>
      <c r="I20" s="7">
        <v>43159</v>
      </c>
      <c r="J20" s="8" t="str">
        <f>"000050"</f>
        <v>000050</v>
      </c>
      <c r="K20" s="7">
        <v>43187</v>
      </c>
      <c r="L20" s="8" t="str">
        <f>"000050"</f>
        <v>000050</v>
      </c>
      <c r="M20" s="7">
        <v>43187</v>
      </c>
      <c r="N20" s="8">
        <v>18</v>
      </c>
      <c r="O20" s="8" t="str">
        <f>"003425"</f>
        <v>003425</v>
      </c>
      <c r="P20" s="7">
        <v>43662</v>
      </c>
      <c r="Q20" s="13">
        <v>24.752279999999999</v>
      </c>
      <c r="R20" s="13">
        <v>3.1187800000000001</v>
      </c>
      <c r="S20" s="13">
        <v>21.633500000000002</v>
      </c>
      <c r="T20" s="8">
        <v>113</v>
      </c>
      <c r="U20" s="7">
        <v>43663</v>
      </c>
      <c r="V20" s="8">
        <v>9449863065</v>
      </c>
      <c r="W20" s="12" t="s">
        <v>92</v>
      </c>
      <c r="X20" s="8" t="s">
        <v>97</v>
      </c>
      <c r="Y20" s="12" t="s">
        <v>98</v>
      </c>
      <c r="Z20" s="8" t="s">
        <v>42</v>
      </c>
      <c r="AA20" s="12" t="s">
        <v>43</v>
      </c>
      <c r="AB20" s="13">
        <f t="shared" si="1"/>
        <v>0.24752279999999999</v>
      </c>
    </row>
    <row r="21" spans="1:28" s="2" customFormat="1" ht="13" x14ac:dyDescent="0.3">
      <c r="A21" s="5">
        <v>20</v>
      </c>
      <c r="B21" s="6" t="s">
        <v>81</v>
      </c>
      <c r="C21" s="7">
        <v>43663</v>
      </c>
      <c r="D21" s="8">
        <v>1</v>
      </c>
      <c r="E21" s="9" t="s">
        <v>29</v>
      </c>
      <c r="F21" s="8" t="s">
        <v>99</v>
      </c>
      <c r="G21" s="12" t="s">
        <v>100</v>
      </c>
      <c r="H21" s="8" t="str">
        <f>"000018"</f>
        <v>000018</v>
      </c>
      <c r="I21" s="7">
        <v>43159</v>
      </c>
      <c r="J21" s="8" t="str">
        <f>"000051"</f>
        <v>000051</v>
      </c>
      <c r="K21" s="7">
        <v>43187</v>
      </c>
      <c r="L21" s="8" t="str">
        <f>"000051"</f>
        <v>000051</v>
      </c>
      <c r="M21" s="7">
        <v>43187</v>
      </c>
      <c r="N21" s="8">
        <v>18</v>
      </c>
      <c r="O21" s="8" t="str">
        <f>"003426"</f>
        <v>003426</v>
      </c>
      <c r="P21" s="7">
        <v>43662</v>
      </c>
      <c r="Q21" s="13">
        <v>24.752279999999999</v>
      </c>
      <c r="R21" s="13">
        <v>3.1187800000000001</v>
      </c>
      <c r="S21" s="13">
        <v>21.633500000000002</v>
      </c>
      <c r="T21" s="8">
        <v>113</v>
      </c>
      <c r="U21" s="7">
        <v>43663</v>
      </c>
      <c r="V21" s="8">
        <v>9449863065</v>
      </c>
      <c r="W21" s="12" t="s">
        <v>92</v>
      </c>
      <c r="X21" s="8" t="s">
        <v>97</v>
      </c>
      <c r="Y21" s="12" t="s">
        <v>98</v>
      </c>
      <c r="Z21" s="8" t="s">
        <v>42</v>
      </c>
      <c r="AA21" s="12" t="s">
        <v>43</v>
      </c>
      <c r="AB21" s="13">
        <f t="shared" si="1"/>
        <v>0.24752279999999999</v>
      </c>
    </row>
    <row r="22" spans="1:28" s="2" customFormat="1" ht="13" x14ac:dyDescent="0.3">
      <c r="A22" s="5">
        <v>21</v>
      </c>
      <c r="B22" s="6" t="s">
        <v>81</v>
      </c>
      <c r="C22" s="7">
        <v>43663</v>
      </c>
      <c r="D22" s="8">
        <v>1</v>
      </c>
      <c r="E22" s="9" t="s">
        <v>29</v>
      </c>
      <c r="F22" s="8" t="s">
        <v>101</v>
      </c>
      <c r="G22" s="12" t="s">
        <v>102</v>
      </c>
      <c r="H22" s="8" t="str">
        <f>"000019"</f>
        <v>000019</v>
      </c>
      <c r="I22" s="7">
        <v>43161</v>
      </c>
      <c r="J22" s="8" t="str">
        <f>"000052"</f>
        <v>000052</v>
      </c>
      <c r="K22" s="7">
        <v>43187</v>
      </c>
      <c r="L22" s="8" t="str">
        <f>"000052"</f>
        <v>000052</v>
      </c>
      <c r="M22" s="7">
        <v>43187</v>
      </c>
      <c r="N22" s="8">
        <v>18</v>
      </c>
      <c r="O22" s="8" t="str">
        <f>"003427"</f>
        <v>003427</v>
      </c>
      <c r="P22" s="7">
        <v>43662</v>
      </c>
      <c r="Q22" s="13">
        <v>23.80369</v>
      </c>
      <c r="R22" s="13">
        <v>2.9992700000000001</v>
      </c>
      <c r="S22" s="13">
        <v>20.80442</v>
      </c>
      <c r="T22" s="8">
        <v>113</v>
      </c>
      <c r="U22" s="7">
        <v>43663</v>
      </c>
      <c r="V22" s="8">
        <v>9986313631</v>
      </c>
      <c r="W22" s="12" t="s">
        <v>103</v>
      </c>
      <c r="X22" s="8" t="s">
        <v>97</v>
      </c>
      <c r="Y22" s="12" t="s">
        <v>98</v>
      </c>
      <c r="Z22" s="8" t="s">
        <v>42</v>
      </c>
      <c r="AA22" s="12" t="s">
        <v>43</v>
      </c>
      <c r="AB22" s="13">
        <f t="shared" si="1"/>
        <v>0.2380369</v>
      </c>
    </row>
    <row r="23" spans="1:28" s="2" customFormat="1" ht="13" x14ac:dyDescent="0.3">
      <c r="A23" s="5">
        <v>22</v>
      </c>
      <c r="B23" s="6" t="s">
        <v>81</v>
      </c>
      <c r="C23" s="7">
        <v>43663</v>
      </c>
      <c r="D23" s="8">
        <v>1</v>
      </c>
      <c r="E23" s="9" t="s">
        <v>29</v>
      </c>
      <c r="F23" s="8" t="s">
        <v>104</v>
      </c>
      <c r="G23" s="12" t="s">
        <v>105</v>
      </c>
      <c r="H23" s="8" t="str">
        <f>"000020"</f>
        <v>000020</v>
      </c>
      <c r="I23" s="7">
        <v>43161</v>
      </c>
      <c r="J23" s="8" t="str">
        <f>"000053"</f>
        <v>000053</v>
      </c>
      <c r="K23" s="7">
        <v>43187</v>
      </c>
      <c r="L23" s="8" t="str">
        <f>"000053"</f>
        <v>000053</v>
      </c>
      <c r="M23" s="7">
        <v>43187</v>
      </c>
      <c r="N23" s="8">
        <v>18</v>
      </c>
      <c r="O23" s="8" t="str">
        <f>"003428"</f>
        <v>003428</v>
      </c>
      <c r="P23" s="7">
        <v>43662</v>
      </c>
      <c r="Q23" s="13">
        <v>24.752279999999999</v>
      </c>
      <c r="R23" s="13">
        <v>3.1187800000000001</v>
      </c>
      <c r="S23" s="13">
        <v>21.633500000000002</v>
      </c>
      <c r="T23" s="8">
        <v>113</v>
      </c>
      <c r="U23" s="7">
        <v>43663</v>
      </c>
      <c r="V23" s="8">
        <v>9986313631</v>
      </c>
      <c r="W23" s="12" t="s">
        <v>106</v>
      </c>
      <c r="X23" s="8" t="s">
        <v>97</v>
      </c>
      <c r="Y23" s="12" t="s">
        <v>98</v>
      </c>
      <c r="Z23" s="8" t="s">
        <v>42</v>
      </c>
      <c r="AA23" s="12" t="s">
        <v>43</v>
      </c>
      <c r="AB23" s="13">
        <f t="shared" si="1"/>
        <v>0.24752279999999999</v>
      </c>
    </row>
    <row r="24" spans="1:28" s="2" customFormat="1" ht="13" x14ac:dyDescent="0.3">
      <c r="A24" s="5">
        <v>23</v>
      </c>
      <c r="B24" s="6" t="s">
        <v>81</v>
      </c>
      <c r="C24" s="7">
        <v>43663</v>
      </c>
      <c r="D24" s="8">
        <v>1</v>
      </c>
      <c r="E24" s="9" t="s">
        <v>29</v>
      </c>
      <c r="F24" s="8" t="s">
        <v>107</v>
      </c>
      <c r="G24" s="12" t="s">
        <v>108</v>
      </c>
      <c r="H24" s="8" t="str">
        <f>"000021"</f>
        <v>000021</v>
      </c>
      <c r="I24" s="7">
        <v>43161</v>
      </c>
      <c r="J24" s="8" t="str">
        <f>"000054"</f>
        <v>000054</v>
      </c>
      <c r="K24" s="7">
        <v>43187</v>
      </c>
      <c r="L24" s="8" t="str">
        <f>"000054"</f>
        <v>000054</v>
      </c>
      <c r="M24" s="7">
        <v>43187</v>
      </c>
      <c r="N24" s="8">
        <v>18</v>
      </c>
      <c r="O24" s="8" t="str">
        <f>"003429"</f>
        <v>003429</v>
      </c>
      <c r="P24" s="7">
        <v>43662</v>
      </c>
      <c r="Q24" s="13">
        <v>24.752279999999999</v>
      </c>
      <c r="R24" s="13">
        <v>3.1187800000000001</v>
      </c>
      <c r="S24" s="13">
        <v>21.633500000000002</v>
      </c>
      <c r="T24" s="8">
        <v>113</v>
      </c>
      <c r="U24" s="7">
        <v>43663</v>
      </c>
      <c r="V24" s="8">
        <v>9966313631</v>
      </c>
      <c r="W24" s="12" t="s">
        <v>109</v>
      </c>
      <c r="X24" s="8" t="s">
        <v>97</v>
      </c>
      <c r="Y24" s="12" t="s">
        <v>98</v>
      </c>
      <c r="Z24" s="8" t="s">
        <v>42</v>
      </c>
      <c r="AA24" s="12" t="s">
        <v>43</v>
      </c>
      <c r="AB24" s="13">
        <f t="shared" si="1"/>
        <v>0.24752279999999999</v>
      </c>
    </row>
    <row r="25" spans="1:28" s="2" customFormat="1" ht="13" x14ac:dyDescent="0.3">
      <c r="A25" s="5">
        <v>24</v>
      </c>
      <c r="B25" s="6" t="s">
        <v>81</v>
      </c>
      <c r="C25" s="7">
        <v>43663</v>
      </c>
      <c r="D25" s="8">
        <v>1</v>
      </c>
      <c r="E25" s="9" t="s">
        <v>29</v>
      </c>
      <c r="F25" s="8" t="s">
        <v>110</v>
      </c>
      <c r="G25" s="12" t="s">
        <v>111</v>
      </c>
      <c r="H25" s="8" t="str">
        <f>"000022"</f>
        <v>000022</v>
      </c>
      <c r="I25" s="7">
        <v>43161</v>
      </c>
      <c r="J25" s="8" t="str">
        <f>"000055"</f>
        <v>000055</v>
      </c>
      <c r="K25" s="7">
        <v>43187</v>
      </c>
      <c r="L25" s="8" t="str">
        <f>"000055"</f>
        <v>000055</v>
      </c>
      <c r="M25" s="7">
        <v>43187</v>
      </c>
      <c r="N25" s="8">
        <v>18</v>
      </c>
      <c r="O25" s="8" t="str">
        <f>"003430"</f>
        <v>003430</v>
      </c>
      <c r="P25" s="7">
        <v>43662</v>
      </c>
      <c r="Q25" s="13">
        <v>24.752279999999999</v>
      </c>
      <c r="R25" s="13">
        <v>3.1187800000000001</v>
      </c>
      <c r="S25" s="13">
        <v>21.633500000000002</v>
      </c>
      <c r="T25" s="8">
        <v>113</v>
      </c>
      <c r="U25" s="7">
        <v>43663</v>
      </c>
      <c r="V25" s="8">
        <v>9986313631</v>
      </c>
      <c r="W25" s="12" t="s">
        <v>112</v>
      </c>
      <c r="X25" s="8" t="s">
        <v>97</v>
      </c>
      <c r="Y25" s="12" t="s">
        <v>98</v>
      </c>
      <c r="Z25" s="8" t="s">
        <v>42</v>
      </c>
      <c r="AA25" s="12" t="s">
        <v>43</v>
      </c>
      <c r="AB25" s="13">
        <f t="shared" si="1"/>
        <v>0.24752279999999999</v>
      </c>
    </row>
    <row r="26" spans="1:28" s="2" customFormat="1" ht="13" x14ac:dyDescent="0.3">
      <c r="A26" s="5">
        <v>25</v>
      </c>
      <c r="B26" s="6" t="s">
        <v>81</v>
      </c>
      <c r="C26" s="7">
        <v>43663</v>
      </c>
      <c r="D26" s="8">
        <v>1</v>
      </c>
      <c r="E26" s="9" t="s">
        <v>29</v>
      </c>
      <c r="F26" s="8" t="s">
        <v>113</v>
      </c>
      <c r="G26" s="12" t="s">
        <v>114</v>
      </c>
      <c r="H26" s="8" t="str">
        <f>"000023"</f>
        <v>000023</v>
      </c>
      <c r="I26" s="7">
        <v>43161</v>
      </c>
      <c r="J26" s="8" t="str">
        <f>"000056"</f>
        <v>000056</v>
      </c>
      <c r="K26" s="7">
        <v>43187</v>
      </c>
      <c r="L26" s="8" t="str">
        <f>"000056"</f>
        <v>000056</v>
      </c>
      <c r="M26" s="7">
        <v>43187</v>
      </c>
      <c r="N26" s="8">
        <v>18</v>
      </c>
      <c r="O26" s="8" t="str">
        <f>"003431"</f>
        <v>003431</v>
      </c>
      <c r="P26" s="7">
        <v>43662</v>
      </c>
      <c r="Q26" s="13">
        <v>24.752279999999999</v>
      </c>
      <c r="R26" s="13">
        <v>3.1187800000000001</v>
      </c>
      <c r="S26" s="13">
        <v>21.633500000000002</v>
      </c>
      <c r="T26" s="8">
        <v>113</v>
      </c>
      <c r="U26" s="7">
        <v>43663</v>
      </c>
      <c r="V26" s="8">
        <v>9986313631</v>
      </c>
      <c r="W26" s="12" t="s">
        <v>115</v>
      </c>
      <c r="X26" s="8" t="s">
        <v>97</v>
      </c>
      <c r="Y26" s="12" t="s">
        <v>98</v>
      </c>
      <c r="Z26" s="8" t="s">
        <v>42</v>
      </c>
      <c r="AA26" s="12" t="s">
        <v>43</v>
      </c>
      <c r="AB26" s="13">
        <f t="shared" si="1"/>
        <v>0.24752279999999999</v>
      </c>
    </row>
    <row r="27" spans="1:28" s="2" customFormat="1" ht="13" x14ac:dyDescent="0.3">
      <c r="A27" s="5">
        <v>26</v>
      </c>
      <c r="B27" s="6" t="s">
        <v>81</v>
      </c>
      <c r="C27" s="7">
        <v>43663</v>
      </c>
      <c r="D27" s="8">
        <v>1</v>
      </c>
      <c r="E27" s="9" t="s">
        <v>29</v>
      </c>
      <c r="F27" s="8" t="s">
        <v>116</v>
      </c>
      <c r="G27" s="12" t="s">
        <v>117</v>
      </c>
      <c r="H27" s="8" t="str">
        <f>"000024"</f>
        <v>000024</v>
      </c>
      <c r="I27" s="7">
        <v>43161</v>
      </c>
      <c r="J27" s="8" t="str">
        <f>"000057"</f>
        <v>000057</v>
      </c>
      <c r="K27" s="7">
        <v>43187</v>
      </c>
      <c r="L27" s="8" t="str">
        <f>"000057"</f>
        <v>000057</v>
      </c>
      <c r="M27" s="7">
        <v>43187</v>
      </c>
      <c r="N27" s="8">
        <v>18</v>
      </c>
      <c r="O27" s="8" t="str">
        <f>"003432"</f>
        <v>003432</v>
      </c>
      <c r="P27" s="7">
        <v>43662</v>
      </c>
      <c r="Q27" s="13">
        <v>24.752279999999999</v>
      </c>
      <c r="R27" s="13">
        <v>3.1187800000000001</v>
      </c>
      <c r="S27" s="13">
        <v>21.633500000000002</v>
      </c>
      <c r="T27" s="8">
        <v>113</v>
      </c>
      <c r="U27" s="7">
        <v>43663</v>
      </c>
      <c r="V27" s="8">
        <v>9986313631</v>
      </c>
      <c r="W27" s="12" t="s">
        <v>118</v>
      </c>
      <c r="X27" s="8" t="s">
        <v>97</v>
      </c>
      <c r="Y27" s="12" t="s">
        <v>98</v>
      </c>
      <c r="Z27" s="8" t="s">
        <v>42</v>
      </c>
      <c r="AA27" s="12" t="s">
        <v>43</v>
      </c>
      <c r="AB27" s="13">
        <f t="shared" si="1"/>
        <v>0.24752279999999999</v>
      </c>
    </row>
    <row r="28" spans="1:28" s="2" customFormat="1" ht="13" x14ac:dyDescent="0.3">
      <c r="A28" s="5">
        <v>27</v>
      </c>
      <c r="B28" s="6" t="s">
        <v>81</v>
      </c>
      <c r="C28" s="7">
        <v>43663</v>
      </c>
      <c r="D28" s="8">
        <v>1</v>
      </c>
      <c r="E28" s="9" t="s">
        <v>29</v>
      </c>
      <c r="F28" s="8" t="s">
        <v>119</v>
      </c>
      <c r="G28" s="12" t="s">
        <v>120</v>
      </c>
      <c r="H28" s="8" t="str">
        <f>"000026"</f>
        <v>000026</v>
      </c>
      <c r="I28" s="7">
        <v>43176</v>
      </c>
      <c r="J28" s="8" t="str">
        <f>"000058"</f>
        <v>000058</v>
      </c>
      <c r="K28" s="7">
        <v>43187</v>
      </c>
      <c r="L28" s="8" t="str">
        <f>"000058"</f>
        <v>000058</v>
      </c>
      <c r="M28" s="7">
        <v>43187</v>
      </c>
      <c r="N28" s="8">
        <v>18</v>
      </c>
      <c r="O28" s="8" t="str">
        <f>"003433"</f>
        <v>003433</v>
      </c>
      <c r="P28" s="7">
        <v>43662</v>
      </c>
      <c r="Q28" s="13">
        <v>19.999749999999999</v>
      </c>
      <c r="R28" s="13">
        <v>2.5199799999999999</v>
      </c>
      <c r="S28" s="13">
        <v>17.479769999999998</v>
      </c>
      <c r="T28" s="8">
        <v>113</v>
      </c>
      <c r="U28" s="7">
        <v>43663</v>
      </c>
      <c r="V28" s="8">
        <v>9986313631</v>
      </c>
      <c r="W28" s="12" t="s">
        <v>121</v>
      </c>
      <c r="X28" s="8" t="s">
        <v>122</v>
      </c>
      <c r="Y28" s="12" t="s">
        <v>123</v>
      </c>
      <c r="Z28" s="8" t="s">
        <v>42</v>
      </c>
      <c r="AA28" s="12" t="s">
        <v>43</v>
      </c>
      <c r="AB28" s="13">
        <f t="shared" si="1"/>
        <v>0.19999749999999999</v>
      </c>
    </row>
    <row r="29" spans="1:28" s="2" customFormat="1" ht="13" x14ac:dyDescent="0.3">
      <c r="A29" s="5">
        <v>28</v>
      </c>
      <c r="B29" s="6" t="s">
        <v>81</v>
      </c>
      <c r="C29" s="7">
        <v>43664</v>
      </c>
      <c r="D29" s="8">
        <v>1</v>
      </c>
      <c r="E29" s="9" t="s">
        <v>29</v>
      </c>
      <c r="F29" s="8" t="s">
        <v>124</v>
      </c>
      <c r="G29" s="12" t="s">
        <v>125</v>
      </c>
      <c r="H29" s="8" t="str">
        <f>"000113"</f>
        <v>000113</v>
      </c>
      <c r="I29" s="7">
        <v>43156</v>
      </c>
      <c r="J29" s="8" t="str">
        <f>"000017"</f>
        <v>000017</v>
      </c>
      <c r="K29" s="7">
        <v>43274</v>
      </c>
      <c r="L29" s="8" t="str">
        <f>"000033"</f>
        <v>000033</v>
      </c>
      <c r="M29" s="7">
        <v>43307</v>
      </c>
      <c r="N29" s="8">
        <v>18</v>
      </c>
      <c r="O29" s="8" t="str">
        <f>"003550"</f>
        <v>003550</v>
      </c>
      <c r="P29" s="7">
        <v>43663</v>
      </c>
      <c r="Q29" s="13">
        <v>10.4366</v>
      </c>
      <c r="R29" s="13">
        <v>0.42992000000000002</v>
      </c>
      <c r="S29" s="13">
        <v>10.006679999999999</v>
      </c>
      <c r="T29" s="8">
        <v>116</v>
      </c>
      <c r="U29" s="7">
        <v>43664</v>
      </c>
      <c r="V29" s="8">
        <v>8453348887</v>
      </c>
      <c r="W29" s="12" t="s">
        <v>126</v>
      </c>
      <c r="X29" s="8" t="s">
        <v>33</v>
      </c>
      <c r="Y29" s="12" t="s">
        <v>34</v>
      </c>
      <c r="Z29" s="8" t="s">
        <v>35</v>
      </c>
      <c r="AA29" s="12" t="s">
        <v>36</v>
      </c>
      <c r="AB29" s="13">
        <f t="shared" si="1"/>
        <v>0.104366</v>
      </c>
    </row>
    <row r="30" spans="1:28" s="2" customFormat="1" ht="13" x14ac:dyDescent="0.3">
      <c r="A30" s="5">
        <v>29</v>
      </c>
      <c r="B30" s="6" t="s">
        <v>81</v>
      </c>
      <c r="C30" s="7">
        <v>43664</v>
      </c>
      <c r="D30" s="8">
        <v>1</v>
      </c>
      <c r="E30" s="9" t="s">
        <v>29</v>
      </c>
      <c r="F30" s="8" t="s">
        <v>127</v>
      </c>
      <c r="G30" s="12" t="s">
        <v>128</v>
      </c>
      <c r="H30" s="8" t="str">
        <f>"000114"</f>
        <v>000114</v>
      </c>
      <c r="I30" s="7">
        <v>43156</v>
      </c>
      <c r="J30" s="8" t="str">
        <f>"000015"</f>
        <v>000015</v>
      </c>
      <c r="K30" s="7">
        <v>43272</v>
      </c>
      <c r="L30" s="8" t="str">
        <f>"000034"</f>
        <v>000034</v>
      </c>
      <c r="M30" s="7">
        <v>43307</v>
      </c>
      <c r="N30" s="8">
        <v>18</v>
      </c>
      <c r="O30" s="8" t="str">
        <f>"003551"</f>
        <v>003551</v>
      </c>
      <c r="P30" s="7">
        <v>43663</v>
      </c>
      <c r="Q30" s="13">
        <v>4.6717000000000004</v>
      </c>
      <c r="R30" s="13">
        <v>0.19355</v>
      </c>
      <c r="S30" s="13">
        <v>4.4781500000000003</v>
      </c>
      <c r="T30" s="8">
        <v>116</v>
      </c>
      <c r="U30" s="7">
        <v>43664</v>
      </c>
      <c r="V30" s="8">
        <v>8453345887</v>
      </c>
      <c r="W30" s="12" t="s">
        <v>126</v>
      </c>
      <c r="X30" s="8" t="s">
        <v>33</v>
      </c>
      <c r="Y30" s="12" t="s">
        <v>34</v>
      </c>
      <c r="Z30" s="8" t="s">
        <v>35</v>
      </c>
      <c r="AA30" s="12" t="s">
        <v>36</v>
      </c>
      <c r="AB30" s="13">
        <f t="shared" si="1"/>
        <v>4.6717000000000002E-2</v>
      </c>
    </row>
    <row r="31" spans="1:28" s="2" customFormat="1" ht="13" x14ac:dyDescent="0.3">
      <c r="A31" s="5">
        <v>30</v>
      </c>
      <c r="B31" s="6" t="s">
        <v>81</v>
      </c>
      <c r="C31" s="7">
        <v>43669</v>
      </c>
      <c r="D31" s="8">
        <v>1</v>
      </c>
      <c r="E31" s="9" t="s">
        <v>29</v>
      </c>
      <c r="F31" s="8" t="s">
        <v>129</v>
      </c>
      <c r="G31" s="12" t="s">
        <v>130</v>
      </c>
      <c r="H31" s="8" t="str">
        <f>"000001"</f>
        <v>000001</v>
      </c>
      <c r="I31" s="7">
        <v>42016</v>
      </c>
      <c r="J31" s="8" t="str">
        <f>"000011"</f>
        <v>000011</v>
      </c>
      <c r="K31" s="7">
        <v>42580</v>
      </c>
      <c r="L31" s="8" t="str">
        <f>"000011"</f>
        <v>000011</v>
      </c>
      <c r="M31" s="7">
        <v>42580</v>
      </c>
      <c r="N31" s="8">
        <v>13</v>
      </c>
      <c r="O31" s="8" t="str">
        <f>"010989"</f>
        <v>010989</v>
      </c>
      <c r="P31" s="7">
        <v>43187</v>
      </c>
      <c r="Q31" s="13">
        <v>6.1417700000000002</v>
      </c>
      <c r="R31" s="13">
        <v>0.25181999999999999</v>
      </c>
      <c r="S31" s="13">
        <v>5.8899499999999998</v>
      </c>
      <c r="T31" s="8">
        <v>122</v>
      </c>
      <c r="U31" s="7">
        <v>43669</v>
      </c>
      <c r="V31" s="8">
        <v>9036166065</v>
      </c>
      <c r="W31" s="12" t="s">
        <v>131</v>
      </c>
      <c r="X31" s="8" t="s">
        <v>132</v>
      </c>
      <c r="Y31" s="12" t="s">
        <v>133</v>
      </c>
      <c r="Z31" s="8" t="s">
        <v>42</v>
      </c>
      <c r="AA31" s="12" t="s">
        <v>43</v>
      </c>
      <c r="AB31" s="13">
        <f t="shared" si="1"/>
        <v>6.1417699999999999E-2</v>
      </c>
    </row>
    <row r="32" spans="1:28" s="2" customFormat="1" ht="13" x14ac:dyDescent="0.3">
      <c r="A32" s="5">
        <v>31</v>
      </c>
      <c r="B32" s="6" t="s">
        <v>81</v>
      </c>
      <c r="C32" s="7">
        <v>43669</v>
      </c>
      <c r="D32" s="8">
        <v>1</v>
      </c>
      <c r="E32" s="9" t="s">
        <v>29</v>
      </c>
      <c r="F32" s="8" t="s">
        <v>134</v>
      </c>
      <c r="G32" s="12" t="s">
        <v>135</v>
      </c>
      <c r="H32" s="8" t="str">
        <f>"000084"</f>
        <v>000084</v>
      </c>
      <c r="I32" s="7">
        <v>43089</v>
      </c>
      <c r="J32" s="8" t="str">
        <f>"000035"</f>
        <v>000035</v>
      </c>
      <c r="K32" s="7">
        <v>43119</v>
      </c>
      <c r="L32" s="8" t="str">
        <f>"000081"</f>
        <v>000081</v>
      </c>
      <c r="M32" s="7">
        <v>43147</v>
      </c>
      <c r="N32" s="8">
        <v>17</v>
      </c>
      <c r="O32" s="8" t="str">
        <f>"003686"</f>
        <v>003686</v>
      </c>
      <c r="P32" s="7">
        <v>43664</v>
      </c>
      <c r="Q32" s="13">
        <v>1.9970000000000001</v>
      </c>
      <c r="R32" s="13">
        <v>8.1879999999999994E-2</v>
      </c>
      <c r="S32" s="13">
        <v>1.9151199999999999</v>
      </c>
      <c r="T32" s="8">
        <v>122</v>
      </c>
      <c r="U32" s="7">
        <v>43669</v>
      </c>
      <c r="V32" s="8">
        <v>9591979507</v>
      </c>
      <c r="W32" s="12" t="s">
        <v>136</v>
      </c>
      <c r="X32" s="8" t="s">
        <v>55</v>
      </c>
      <c r="Y32" s="12" t="s">
        <v>56</v>
      </c>
      <c r="Z32" s="8" t="s">
        <v>35</v>
      </c>
      <c r="AA32" s="12" t="s">
        <v>36</v>
      </c>
      <c r="AB32" s="13">
        <f t="shared" si="1"/>
        <v>1.9970000000000002E-2</v>
      </c>
    </row>
    <row r="33" spans="1:28" s="2" customFormat="1" ht="13" x14ac:dyDescent="0.3">
      <c r="A33" s="5">
        <v>32</v>
      </c>
      <c r="B33" s="6" t="s">
        <v>137</v>
      </c>
      <c r="C33" s="7">
        <v>43684</v>
      </c>
      <c r="D33" s="8">
        <v>1</v>
      </c>
      <c r="E33" s="9" t="s">
        <v>29</v>
      </c>
      <c r="F33" s="8" t="s">
        <v>138</v>
      </c>
      <c r="G33" s="12" t="s">
        <v>139</v>
      </c>
      <c r="H33" s="8" t="str">
        <f>"000042"</f>
        <v>000042</v>
      </c>
      <c r="I33" s="7">
        <v>43041</v>
      </c>
      <c r="J33" s="8" t="str">
        <f>"000058"</f>
        <v>000058</v>
      </c>
      <c r="K33" s="7">
        <v>43146</v>
      </c>
      <c r="L33" s="8" t="str">
        <f>"000079"</f>
        <v>000079</v>
      </c>
      <c r="M33" s="7">
        <v>43146</v>
      </c>
      <c r="N33" s="8">
        <v>17</v>
      </c>
      <c r="O33" s="8" t="str">
        <f>"004207"</f>
        <v>004207</v>
      </c>
      <c r="P33" s="7">
        <v>43679</v>
      </c>
      <c r="Q33" s="13">
        <v>16.94388</v>
      </c>
      <c r="R33" s="13">
        <v>1.0491999999999999</v>
      </c>
      <c r="S33" s="13">
        <v>15.894679999999999</v>
      </c>
      <c r="T33" s="8">
        <v>144</v>
      </c>
      <c r="U33" s="7">
        <v>43684</v>
      </c>
      <c r="V33" s="8">
        <v>9741636099</v>
      </c>
      <c r="W33" s="12" t="s">
        <v>140</v>
      </c>
      <c r="X33" s="8" t="s">
        <v>55</v>
      </c>
      <c r="Y33" s="12" t="s">
        <v>56</v>
      </c>
      <c r="Z33" s="8" t="s">
        <v>35</v>
      </c>
      <c r="AA33" s="12" t="s">
        <v>36</v>
      </c>
      <c r="AB33" s="13">
        <f t="shared" si="1"/>
        <v>0.1694388</v>
      </c>
    </row>
    <row r="34" spans="1:28" s="2" customFormat="1" ht="13" x14ac:dyDescent="0.3">
      <c r="A34" s="5">
        <v>33</v>
      </c>
      <c r="B34" s="6" t="s">
        <v>137</v>
      </c>
      <c r="C34" s="7">
        <v>43684</v>
      </c>
      <c r="D34" s="8">
        <v>1</v>
      </c>
      <c r="E34" s="9" t="s">
        <v>29</v>
      </c>
      <c r="F34" s="8" t="s">
        <v>141</v>
      </c>
      <c r="G34" s="12" t="s">
        <v>142</v>
      </c>
      <c r="H34" s="8" t="str">
        <f>"000043"</f>
        <v>000043</v>
      </c>
      <c r="I34" s="7">
        <v>43041</v>
      </c>
      <c r="J34" s="8" t="str">
        <f>"000059"</f>
        <v>000059</v>
      </c>
      <c r="K34" s="7">
        <v>43146</v>
      </c>
      <c r="L34" s="8" t="str">
        <f>"000080"</f>
        <v>000080</v>
      </c>
      <c r="M34" s="7">
        <v>43147</v>
      </c>
      <c r="N34" s="8">
        <v>17</v>
      </c>
      <c r="O34" s="8" t="str">
        <f>"004208"</f>
        <v>004208</v>
      </c>
      <c r="P34" s="7">
        <v>43679</v>
      </c>
      <c r="Q34" s="13">
        <v>17.967110000000002</v>
      </c>
      <c r="R34" s="13">
        <v>1.1021700000000001</v>
      </c>
      <c r="S34" s="13">
        <v>16.864940000000001</v>
      </c>
      <c r="T34" s="8">
        <v>144</v>
      </c>
      <c r="U34" s="7">
        <v>43684</v>
      </c>
      <c r="V34" s="8">
        <v>9741636099</v>
      </c>
      <c r="W34" s="12" t="s">
        <v>140</v>
      </c>
      <c r="X34" s="8" t="s">
        <v>55</v>
      </c>
      <c r="Y34" s="12" t="s">
        <v>56</v>
      </c>
      <c r="Z34" s="8" t="s">
        <v>35</v>
      </c>
      <c r="AA34" s="12" t="s">
        <v>36</v>
      </c>
      <c r="AB34" s="13">
        <f t="shared" si="1"/>
        <v>0.17967110000000003</v>
      </c>
    </row>
    <row r="35" spans="1:28" s="2" customFormat="1" ht="13" x14ac:dyDescent="0.3">
      <c r="A35" s="5">
        <v>34</v>
      </c>
      <c r="B35" s="6" t="s">
        <v>137</v>
      </c>
      <c r="C35" s="7">
        <v>43684</v>
      </c>
      <c r="D35" s="8">
        <v>1</v>
      </c>
      <c r="E35" s="9" t="s">
        <v>29</v>
      </c>
      <c r="F35" s="8" t="s">
        <v>143</v>
      </c>
      <c r="G35" s="12" t="s">
        <v>144</v>
      </c>
      <c r="H35" s="8" t="str">
        <f>"000104"</f>
        <v>000104</v>
      </c>
      <c r="I35" s="7">
        <v>43132</v>
      </c>
      <c r="J35" s="8" t="str">
        <f>"000064"</f>
        <v>000064</v>
      </c>
      <c r="K35" s="7">
        <v>43162</v>
      </c>
      <c r="L35" s="8" t="str">
        <f>"000091"</f>
        <v>000091</v>
      </c>
      <c r="M35" s="7">
        <v>43168</v>
      </c>
      <c r="N35" s="8">
        <v>18</v>
      </c>
      <c r="O35" s="8" t="str">
        <f>"004210"</f>
        <v>004210</v>
      </c>
      <c r="P35" s="7">
        <v>43679</v>
      </c>
      <c r="Q35" s="13">
        <v>53.666240000000002</v>
      </c>
      <c r="R35" s="13">
        <v>2.20031</v>
      </c>
      <c r="S35" s="13">
        <v>51.46593</v>
      </c>
      <c r="T35" s="8">
        <v>144</v>
      </c>
      <c r="U35" s="7">
        <v>43684</v>
      </c>
      <c r="V35" s="8">
        <v>9880085323</v>
      </c>
      <c r="W35" s="12" t="s">
        <v>145</v>
      </c>
      <c r="X35" s="8" t="s">
        <v>146</v>
      </c>
      <c r="Y35" s="12" t="s">
        <v>147</v>
      </c>
      <c r="Z35" s="8" t="s">
        <v>35</v>
      </c>
      <c r="AA35" s="12" t="s">
        <v>36</v>
      </c>
      <c r="AB35" s="13">
        <f t="shared" si="1"/>
        <v>0.53666239999999998</v>
      </c>
    </row>
    <row r="36" spans="1:28" s="2" customFormat="1" ht="13" x14ac:dyDescent="0.3">
      <c r="A36" s="5">
        <v>35</v>
      </c>
      <c r="B36" s="6" t="s">
        <v>137</v>
      </c>
      <c r="C36" s="7">
        <v>43684</v>
      </c>
      <c r="D36" s="8">
        <v>1</v>
      </c>
      <c r="E36" s="9" t="s">
        <v>29</v>
      </c>
      <c r="F36" s="8" t="s">
        <v>148</v>
      </c>
      <c r="G36" s="12" t="s">
        <v>149</v>
      </c>
      <c r="H36" s="8" t="str">
        <f>"000054"</f>
        <v>000054</v>
      </c>
      <c r="I36" s="7">
        <v>43055</v>
      </c>
      <c r="J36" s="8" t="str">
        <f>"000063"</f>
        <v>000063</v>
      </c>
      <c r="K36" s="7">
        <v>43161</v>
      </c>
      <c r="L36" s="8" t="str">
        <f>"000092"</f>
        <v>000092</v>
      </c>
      <c r="M36" s="7">
        <v>43168</v>
      </c>
      <c r="N36" s="8">
        <v>18</v>
      </c>
      <c r="O36" s="8" t="str">
        <f>"004212"</f>
        <v>004212</v>
      </c>
      <c r="P36" s="7">
        <v>43679</v>
      </c>
      <c r="Q36" s="13">
        <v>52.131129999999999</v>
      </c>
      <c r="R36" s="13">
        <v>2.4883999999999999</v>
      </c>
      <c r="S36" s="13">
        <v>49.64273</v>
      </c>
      <c r="T36" s="8">
        <v>144</v>
      </c>
      <c r="U36" s="7">
        <v>43684</v>
      </c>
      <c r="V36" s="8">
        <v>9880085323</v>
      </c>
      <c r="W36" s="12" t="s">
        <v>150</v>
      </c>
      <c r="X36" s="8" t="s">
        <v>151</v>
      </c>
      <c r="Y36" s="12" t="s">
        <v>152</v>
      </c>
      <c r="Z36" s="8" t="s">
        <v>35</v>
      </c>
      <c r="AA36" s="12" t="s">
        <v>36</v>
      </c>
      <c r="AB36" s="13">
        <f t="shared" si="1"/>
        <v>0.52131130000000003</v>
      </c>
    </row>
    <row r="37" spans="1:28" s="2" customFormat="1" ht="13" x14ac:dyDescent="0.3">
      <c r="A37" s="5">
        <v>36</v>
      </c>
      <c r="B37" s="6" t="s">
        <v>137</v>
      </c>
      <c r="C37" s="7">
        <v>43685</v>
      </c>
      <c r="D37" s="8">
        <v>1</v>
      </c>
      <c r="E37" s="9" t="s">
        <v>29</v>
      </c>
      <c r="F37" s="8" t="s">
        <v>153</v>
      </c>
      <c r="G37" s="12" t="s">
        <v>154</v>
      </c>
      <c r="H37" s="8" t="str">
        <f>"000097"</f>
        <v>000097</v>
      </c>
      <c r="I37" s="7">
        <v>43104</v>
      </c>
      <c r="J37" s="8" t="str">
        <f>"000050"</f>
        <v>000050</v>
      </c>
      <c r="K37" s="7">
        <v>43130</v>
      </c>
      <c r="L37" s="8" t="str">
        <f>"000017"</f>
        <v>000017</v>
      </c>
      <c r="M37" s="7">
        <v>43258</v>
      </c>
      <c r="N37" s="8">
        <v>17</v>
      </c>
      <c r="O37" s="8" t="str">
        <f>"004252"</f>
        <v>004252</v>
      </c>
      <c r="P37" s="7">
        <v>43680</v>
      </c>
      <c r="Q37" s="13">
        <v>4.7419500000000001</v>
      </c>
      <c r="R37" s="13">
        <v>0.19442999999999999</v>
      </c>
      <c r="S37" s="13">
        <v>4.5475199999999996</v>
      </c>
      <c r="T37" s="8">
        <v>145</v>
      </c>
      <c r="U37" s="7">
        <v>43685</v>
      </c>
      <c r="V37" s="8">
        <v>9980326667</v>
      </c>
      <c r="W37" s="12" t="s">
        <v>32</v>
      </c>
      <c r="X37" s="8" t="s">
        <v>33</v>
      </c>
      <c r="Y37" s="12" t="s">
        <v>34</v>
      </c>
      <c r="Z37" s="8" t="s">
        <v>35</v>
      </c>
      <c r="AA37" s="12" t="s">
        <v>36</v>
      </c>
      <c r="AB37" s="13">
        <f t="shared" si="1"/>
        <v>4.7419500000000003E-2</v>
      </c>
    </row>
    <row r="38" spans="1:28" s="2" customFormat="1" ht="13" x14ac:dyDescent="0.3">
      <c r="A38" s="5">
        <v>37</v>
      </c>
      <c r="B38" s="6" t="s">
        <v>137</v>
      </c>
      <c r="C38" s="7">
        <v>43696</v>
      </c>
      <c r="D38" s="8">
        <v>1</v>
      </c>
      <c r="E38" s="9" t="s">
        <v>29</v>
      </c>
      <c r="F38" s="8" t="s">
        <v>155</v>
      </c>
      <c r="G38" s="12" t="s">
        <v>156</v>
      </c>
      <c r="H38" s="8" t="str">
        <f>"000045"</f>
        <v>000045</v>
      </c>
      <c r="I38" s="7">
        <v>43041</v>
      </c>
      <c r="J38" s="8" t="str">
        <f>"000060"</f>
        <v>000060</v>
      </c>
      <c r="K38" s="7">
        <v>43146</v>
      </c>
      <c r="L38" s="8" t="str">
        <f>"000078"</f>
        <v>000078</v>
      </c>
      <c r="M38" s="7">
        <v>43146</v>
      </c>
      <c r="N38" s="8">
        <v>17</v>
      </c>
      <c r="O38" s="8" t="str">
        <f>"004336"</f>
        <v>004336</v>
      </c>
      <c r="P38" s="7">
        <v>43683</v>
      </c>
      <c r="Q38" s="13">
        <v>16.94894</v>
      </c>
      <c r="R38" s="13">
        <v>1.02745</v>
      </c>
      <c r="S38" s="13">
        <v>15.92149</v>
      </c>
      <c r="T38" s="8">
        <v>158</v>
      </c>
      <c r="U38" s="7">
        <v>43696</v>
      </c>
      <c r="V38" s="8">
        <v>9741636099</v>
      </c>
      <c r="W38" s="12" t="s">
        <v>140</v>
      </c>
      <c r="X38" s="8" t="s">
        <v>55</v>
      </c>
      <c r="Y38" s="12" t="s">
        <v>56</v>
      </c>
      <c r="Z38" s="8" t="s">
        <v>35</v>
      </c>
      <c r="AA38" s="12" t="s">
        <v>36</v>
      </c>
      <c r="AB38" s="13">
        <f t="shared" si="1"/>
        <v>0.16948940000000001</v>
      </c>
    </row>
    <row r="39" spans="1:28" s="2" customFormat="1" ht="13" x14ac:dyDescent="0.3">
      <c r="A39" s="5">
        <v>38</v>
      </c>
      <c r="B39" s="6" t="s">
        <v>137</v>
      </c>
      <c r="C39" s="7">
        <v>43697</v>
      </c>
      <c r="D39" s="8">
        <v>1</v>
      </c>
      <c r="E39" s="9" t="s">
        <v>29</v>
      </c>
      <c r="F39" s="8" t="s">
        <v>157</v>
      </c>
      <c r="G39" s="12" t="s">
        <v>158</v>
      </c>
      <c r="H39" s="8" t="str">
        <f>"000009"</f>
        <v>000009</v>
      </c>
      <c r="I39" s="7">
        <v>43627</v>
      </c>
      <c r="J39" s="8" t="str">
        <f>"000050"</f>
        <v>000050</v>
      </c>
      <c r="K39" s="7">
        <v>43627</v>
      </c>
      <c r="L39" s="8" t="str">
        <f>"000050"</f>
        <v>000050</v>
      </c>
      <c r="M39" s="7">
        <v>43627</v>
      </c>
      <c r="N39" s="8">
        <v>11</v>
      </c>
      <c r="O39" s="8" t="str">
        <f>"004570"</f>
        <v>004570</v>
      </c>
      <c r="P39" s="7">
        <v>43694</v>
      </c>
      <c r="Q39" s="13">
        <v>11.85</v>
      </c>
      <c r="R39" s="13">
        <v>0.60435000000000005</v>
      </c>
      <c r="S39" s="13">
        <v>11.245649999999999</v>
      </c>
      <c r="T39" s="8">
        <v>160</v>
      </c>
      <c r="U39" s="7">
        <v>43697</v>
      </c>
      <c r="V39" s="8">
        <v>9686660565</v>
      </c>
      <c r="W39" s="12" t="s">
        <v>159</v>
      </c>
      <c r="X39" s="8" t="s">
        <v>160</v>
      </c>
      <c r="Y39" s="12" t="s">
        <v>161</v>
      </c>
      <c r="Z39" s="8" t="s">
        <v>162</v>
      </c>
      <c r="AA39" s="12" t="s">
        <v>163</v>
      </c>
      <c r="AB39" s="13">
        <f t="shared" si="1"/>
        <v>0.11849999999999999</v>
      </c>
    </row>
    <row r="40" spans="1:28" s="2" customFormat="1" ht="13" x14ac:dyDescent="0.3">
      <c r="A40" s="5">
        <v>39</v>
      </c>
      <c r="B40" s="6" t="s">
        <v>164</v>
      </c>
      <c r="C40" s="7">
        <v>43725</v>
      </c>
      <c r="D40" s="8">
        <v>1</v>
      </c>
      <c r="E40" s="9" t="s">
        <v>29</v>
      </c>
      <c r="F40" s="8" t="s">
        <v>165</v>
      </c>
      <c r="G40" s="12" t="s">
        <v>166</v>
      </c>
      <c r="H40" s="8" t="str">
        <f>"000025"</f>
        <v>000025</v>
      </c>
      <c r="I40" s="7">
        <v>43005</v>
      </c>
      <c r="J40" s="8" t="str">
        <f>"000067"</f>
        <v>000067</v>
      </c>
      <c r="K40" s="7">
        <v>43187</v>
      </c>
      <c r="L40" s="8" t="str">
        <f>"000001"</f>
        <v>000001</v>
      </c>
      <c r="M40" s="7">
        <v>43193</v>
      </c>
      <c r="N40" s="8">
        <v>16</v>
      </c>
      <c r="O40" s="8" t="str">
        <f>"004916"</f>
        <v>004916</v>
      </c>
      <c r="P40" s="7">
        <v>43711</v>
      </c>
      <c r="Q40" s="13">
        <v>7.8249000000000004</v>
      </c>
      <c r="R40" s="13">
        <v>0.73031999999999997</v>
      </c>
      <c r="S40" s="13">
        <v>7.0945799999999997</v>
      </c>
      <c r="T40" s="8">
        <v>190</v>
      </c>
      <c r="U40" s="7">
        <v>43725</v>
      </c>
      <c r="V40" s="8">
        <v>9845483593</v>
      </c>
      <c r="W40" s="12" t="s">
        <v>167</v>
      </c>
      <c r="X40" s="8" t="s">
        <v>55</v>
      </c>
      <c r="Y40" s="12" t="s">
        <v>56</v>
      </c>
      <c r="Z40" s="8" t="s">
        <v>35</v>
      </c>
      <c r="AA40" s="12" t="s">
        <v>36</v>
      </c>
      <c r="AB40" s="13">
        <f t="shared" si="1"/>
        <v>7.8248999999999999E-2</v>
      </c>
    </row>
    <row r="41" spans="1:28" s="2" customFormat="1" ht="13" x14ac:dyDescent="0.3">
      <c r="A41" s="5">
        <v>40</v>
      </c>
      <c r="B41" s="6" t="s">
        <v>172</v>
      </c>
      <c r="C41" s="7">
        <v>43748</v>
      </c>
      <c r="D41" s="5">
        <v>1</v>
      </c>
      <c r="E41" s="9" t="s">
        <v>29</v>
      </c>
      <c r="F41" s="8" t="s">
        <v>37</v>
      </c>
      <c r="G41" s="9" t="s">
        <v>38</v>
      </c>
      <c r="H41" s="8" t="str">
        <f>"000031"</f>
        <v>000031</v>
      </c>
      <c r="I41" s="7">
        <v>42772</v>
      </c>
      <c r="J41" s="8" t="str">
        <f>"000033"</f>
        <v>000033</v>
      </c>
      <c r="K41" s="7">
        <v>43116</v>
      </c>
      <c r="L41" s="8" t="str">
        <f>"000033"</f>
        <v>000033</v>
      </c>
      <c r="M41" s="7">
        <v>43116</v>
      </c>
      <c r="N41" s="8">
        <v>16</v>
      </c>
      <c r="O41" s="8" t="str">
        <f>"000338"</f>
        <v>000338</v>
      </c>
      <c r="P41" s="7">
        <v>43566</v>
      </c>
      <c r="Q41" s="10">
        <v>8.3825599999999998</v>
      </c>
      <c r="R41" s="10">
        <v>1.1075200000000001</v>
      </c>
      <c r="S41" s="10">
        <v>7.2750399999999997</v>
      </c>
      <c r="T41" s="8">
        <v>13</v>
      </c>
      <c r="U41" s="7">
        <v>43748</v>
      </c>
      <c r="V41" s="8">
        <v>9060589769</v>
      </c>
      <c r="W41" s="9" t="s">
        <v>39</v>
      </c>
      <c r="X41" s="8" t="s">
        <v>40</v>
      </c>
      <c r="Y41" s="9" t="s">
        <v>41</v>
      </c>
      <c r="Z41" s="8" t="s">
        <v>42</v>
      </c>
      <c r="AA41" s="9" t="s">
        <v>43</v>
      </c>
      <c r="AB41" s="10">
        <v>8.38256E-2</v>
      </c>
    </row>
    <row r="42" spans="1:28" s="2" customFormat="1" ht="13" x14ac:dyDescent="0.3">
      <c r="A42" s="5">
        <v>41</v>
      </c>
      <c r="B42" s="6" t="s">
        <v>172</v>
      </c>
      <c r="C42" s="7">
        <v>43749</v>
      </c>
      <c r="D42" s="5">
        <v>1</v>
      </c>
      <c r="E42" s="9" t="s">
        <v>29</v>
      </c>
      <c r="F42" s="8" t="s">
        <v>173</v>
      </c>
      <c r="G42" s="9" t="s">
        <v>174</v>
      </c>
      <c r="H42" s="8" t="str">
        <f>"000118"</f>
        <v>000118</v>
      </c>
      <c r="I42" s="7">
        <v>43156</v>
      </c>
      <c r="J42" s="8" t="str">
        <f>"000004"</f>
        <v>000004</v>
      </c>
      <c r="K42" s="7">
        <v>43215</v>
      </c>
      <c r="L42" s="8" t="str">
        <f>"000005"</f>
        <v>000005</v>
      </c>
      <c r="M42" s="7">
        <v>43216</v>
      </c>
      <c r="N42" s="8">
        <v>18</v>
      </c>
      <c r="O42" s="8" t="str">
        <f>"005476"</f>
        <v>005476</v>
      </c>
      <c r="P42" s="7">
        <v>43739</v>
      </c>
      <c r="Q42" s="10">
        <v>49.859940000000002</v>
      </c>
      <c r="R42" s="10">
        <v>5.6403299999999996</v>
      </c>
      <c r="S42" s="10">
        <v>44.219610000000003</v>
      </c>
      <c r="T42" s="8">
        <v>13</v>
      </c>
      <c r="U42" s="7">
        <v>43749</v>
      </c>
      <c r="V42" s="8">
        <v>9035609668</v>
      </c>
      <c r="W42" s="9" t="s">
        <v>175</v>
      </c>
      <c r="X42" s="8" t="s">
        <v>176</v>
      </c>
      <c r="Y42" s="9" t="s">
        <v>177</v>
      </c>
      <c r="Z42" s="8" t="s">
        <v>35</v>
      </c>
      <c r="AA42" s="9" t="s">
        <v>36</v>
      </c>
      <c r="AB42" s="10">
        <v>0.49859940000000003</v>
      </c>
    </row>
    <row r="43" spans="1:28" s="2" customFormat="1" ht="13" x14ac:dyDescent="0.3">
      <c r="A43" s="5">
        <v>42</v>
      </c>
      <c r="B43" s="6" t="s">
        <v>172</v>
      </c>
      <c r="C43" s="7">
        <v>43749</v>
      </c>
      <c r="D43" s="5">
        <v>1</v>
      </c>
      <c r="E43" s="9" t="s">
        <v>29</v>
      </c>
      <c r="F43" s="8" t="s">
        <v>178</v>
      </c>
      <c r="G43" s="9" t="s">
        <v>179</v>
      </c>
      <c r="H43" s="8" t="str">
        <f>"000115"</f>
        <v>000115</v>
      </c>
      <c r="I43" s="7">
        <v>43156</v>
      </c>
      <c r="J43" s="8" t="str">
        <f>"000002"</f>
        <v>000002</v>
      </c>
      <c r="K43" s="7">
        <v>43215</v>
      </c>
      <c r="L43" s="8" t="str">
        <f>"000006"</f>
        <v>000006</v>
      </c>
      <c r="M43" s="7">
        <v>43216</v>
      </c>
      <c r="N43" s="8">
        <v>18</v>
      </c>
      <c r="O43" s="8" t="str">
        <f>"005477"</f>
        <v>005477</v>
      </c>
      <c r="P43" s="7">
        <v>43739</v>
      </c>
      <c r="Q43" s="10">
        <v>99.975769999999997</v>
      </c>
      <c r="R43" s="10">
        <v>10.852729999999999</v>
      </c>
      <c r="S43" s="10">
        <v>89.123040000000003</v>
      </c>
      <c r="T43" s="8">
        <v>13</v>
      </c>
      <c r="U43" s="7">
        <v>43749</v>
      </c>
      <c r="V43" s="8">
        <v>9035609668</v>
      </c>
      <c r="W43" s="9" t="s">
        <v>175</v>
      </c>
      <c r="X43" s="8" t="s">
        <v>176</v>
      </c>
      <c r="Y43" s="9" t="s">
        <v>177</v>
      </c>
      <c r="Z43" s="8" t="s">
        <v>35</v>
      </c>
      <c r="AA43" s="9" t="s">
        <v>36</v>
      </c>
      <c r="AB43" s="10">
        <v>0.99975769999999997</v>
      </c>
    </row>
    <row r="44" spans="1:28" s="2" customFormat="1" ht="13" x14ac:dyDescent="0.3">
      <c r="A44" s="5">
        <v>43</v>
      </c>
      <c r="B44" s="6" t="s">
        <v>172</v>
      </c>
      <c r="C44" s="7">
        <v>43749</v>
      </c>
      <c r="D44" s="5">
        <v>1</v>
      </c>
      <c r="E44" s="9" t="s">
        <v>29</v>
      </c>
      <c r="F44" s="8" t="s">
        <v>180</v>
      </c>
      <c r="G44" s="9" t="s">
        <v>181</v>
      </c>
      <c r="H44" s="8" t="str">
        <f>"000116"</f>
        <v>000116</v>
      </c>
      <c r="I44" s="7">
        <v>43156</v>
      </c>
      <c r="J44" s="8" t="str">
        <f>"000003"</f>
        <v>000003</v>
      </c>
      <c r="K44" s="7">
        <v>43215</v>
      </c>
      <c r="L44" s="8" t="str">
        <f>"000007"</f>
        <v>000007</v>
      </c>
      <c r="M44" s="7">
        <v>43216</v>
      </c>
      <c r="N44" s="8">
        <v>18</v>
      </c>
      <c r="O44" s="8" t="str">
        <f>"005478"</f>
        <v>005478</v>
      </c>
      <c r="P44" s="7">
        <v>43739</v>
      </c>
      <c r="Q44" s="10">
        <v>49.983400000000003</v>
      </c>
      <c r="R44" s="10">
        <v>5.3971499999999999</v>
      </c>
      <c r="S44" s="10">
        <v>44.58625</v>
      </c>
      <c r="T44" s="8">
        <v>13</v>
      </c>
      <c r="U44" s="7">
        <v>43749</v>
      </c>
      <c r="V44" s="8">
        <v>9035609668</v>
      </c>
      <c r="W44" s="9" t="s">
        <v>175</v>
      </c>
      <c r="X44" s="8" t="s">
        <v>176</v>
      </c>
      <c r="Y44" s="9" t="s">
        <v>177</v>
      </c>
      <c r="Z44" s="8" t="s">
        <v>35</v>
      </c>
      <c r="AA44" s="9" t="s">
        <v>36</v>
      </c>
      <c r="AB44" s="10">
        <v>0.49983400000000006</v>
      </c>
    </row>
    <row r="45" spans="1:28" s="2" customFormat="1" ht="13" x14ac:dyDescent="0.3">
      <c r="A45" s="5">
        <v>44</v>
      </c>
      <c r="B45" s="6" t="s">
        <v>172</v>
      </c>
      <c r="C45" s="7">
        <v>43769</v>
      </c>
      <c r="D45" s="5">
        <v>1</v>
      </c>
      <c r="E45" s="9" t="s">
        <v>29</v>
      </c>
      <c r="F45" s="8" t="s">
        <v>182</v>
      </c>
      <c r="G45" s="9" t="s">
        <v>183</v>
      </c>
      <c r="H45" s="8" t="str">
        <f>"000004"</f>
        <v>000004</v>
      </c>
      <c r="I45" s="7">
        <v>43404</v>
      </c>
      <c r="J45" s="8" t="str">
        <f>"000146"</f>
        <v>000146</v>
      </c>
      <c r="K45" s="7">
        <v>43488</v>
      </c>
      <c r="L45" s="8" t="str">
        <f>"000145"</f>
        <v>000145</v>
      </c>
      <c r="M45" s="7">
        <v>43488</v>
      </c>
      <c r="N45" s="8">
        <v>18</v>
      </c>
      <c r="O45" s="8" t="str">
        <f>"006022"</f>
        <v>006022</v>
      </c>
      <c r="P45" s="7">
        <v>43768</v>
      </c>
      <c r="Q45" s="10">
        <v>59.548020000000001</v>
      </c>
      <c r="R45" s="10">
        <v>38.582680000000003</v>
      </c>
      <c r="S45" s="10">
        <v>20.965340000000001</v>
      </c>
      <c r="T45" s="8">
        <v>13</v>
      </c>
      <c r="U45" s="7">
        <v>43769</v>
      </c>
      <c r="V45" s="8">
        <v>9845118582</v>
      </c>
      <c r="W45" s="9" t="s">
        <v>184</v>
      </c>
      <c r="X45" s="8" t="s">
        <v>151</v>
      </c>
      <c r="Y45" s="9" t="s">
        <v>152</v>
      </c>
      <c r="Z45" s="8" t="s">
        <v>49</v>
      </c>
      <c r="AA45" s="9" t="s">
        <v>50</v>
      </c>
      <c r="AB45" s="10">
        <v>0.59548020000000002</v>
      </c>
    </row>
    <row r="46" spans="1:28" s="2" customFormat="1" ht="13" x14ac:dyDescent="0.3">
      <c r="A46" s="5">
        <v>45</v>
      </c>
      <c r="B46" s="6" t="s">
        <v>168</v>
      </c>
      <c r="C46" s="7">
        <v>43790</v>
      </c>
      <c r="D46" s="5">
        <v>1</v>
      </c>
      <c r="E46" s="9" t="s">
        <v>29</v>
      </c>
      <c r="F46" s="8" t="s">
        <v>169</v>
      </c>
      <c r="G46" s="9" t="s">
        <v>170</v>
      </c>
      <c r="H46" s="8" t="str">
        <f>"000088"</f>
        <v>000088</v>
      </c>
      <c r="I46" s="7">
        <v>43665</v>
      </c>
      <c r="J46" s="8" t="str">
        <f>"000022"</f>
        <v>000022</v>
      </c>
      <c r="K46" s="7">
        <v>43669</v>
      </c>
      <c r="L46" s="8" t="str">
        <f>"000040"</f>
        <v>000040</v>
      </c>
      <c r="M46" s="7">
        <v>43680</v>
      </c>
      <c r="N46" s="8">
        <v>19</v>
      </c>
      <c r="O46" s="8" t="str">
        <f>"006281"</f>
        <v>006281</v>
      </c>
      <c r="P46" s="7">
        <v>43789</v>
      </c>
      <c r="Q46" s="10">
        <v>2.8</v>
      </c>
      <c r="R46" s="10">
        <v>0.28000000000000003</v>
      </c>
      <c r="S46" s="10">
        <v>2.52</v>
      </c>
      <c r="T46" s="8">
        <v>13</v>
      </c>
      <c r="U46" s="7">
        <v>43790</v>
      </c>
      <c r="V46" s="8">
        <v>9448353883</v>
      </c>
      <c r="W46" s="9" t="s">
        <v>171</v>
      </c>
      <c r="X46" s="8" t="s">
        <v>47</v>
      </c>
      <c r="Y46" s="9" t="s">
        <v>48</v>
      </c>
      <c r="Z46" s="8" t="s">
        <v>35</v>
      </c>
      <c r="AA46" s="9" t="s">
        <v>36</v>
      </c>
      <c r="AB46" s="10">
        <v>2.7999999999999997E-2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2020-01-28T11:13:24Z</dcterms:modified>
</cp:coreProperties>
</file>