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1" l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O20" i="1"/>
  <c r="L20" i="1"/>
  <c r="J20" i="1"/>
  <c r="H20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<sst xmlns="http://schemas.openxmlformats.org/spreadsheetml/2006/main" count="397" uniqueCount="144">
  <si>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</si>
  <si>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</si>
  <si>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</si>
  <si>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</si>
  <si>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</si>
  <si>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</si>
  <si>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</si>
  <si>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</si>
  <si>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</si>
  <si>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</si>
  <si>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</si>
  <si>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</si>
  <si>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</si>
  <si>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</si>
  <si>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</si>
  <si>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</si>
  <si>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</si>
  <si>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</si>
  <si>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</si>
  <si>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</si>
  <si>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</si>
  <si>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</si>
  <si>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</si>
  <si>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</si>
  <si>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</si>
  <si>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</si>
  <si>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</si>
  <si>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</si>
  <si>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</si>
  <si>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</si>
  <si>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</si>
  <si>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</si>
  <si>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</si>
  <si>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</si>
  <si>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</si>
  <si>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P3110</t>
  </si>
  <si>
    <t>14th Finance Commission Grant Works</t>
  </si>
  <si>
    <t>ddo209</t>
  </si>
  <si>
    <t xml:space="preserve"> Assistant Executive Engineer Electrical West Zone</t>
  </si>
  <si>
    <t>P3111</t>
  </si>
  <si>
    <t>State Finance Commission Untied Grant Works</t>
  </si>
  <si>
    <t>P0190</t>
  </si>
  <si>
    <t>Works sanctioned by Hon Mayor</t>
  </si>
  <si>
    <t>KRIDL</t>
  </si>
  <si>
    <t xml:space="preserve">Karnataka Rural Infrastructure Development Limited   </t>
  </si>
  <si>
    <t>ddo199</t>
  </si>
  <si>
    <t xml:space="preserve"> Assistant Executive Engineer Rajajinagar West Zone</t>
  </si>
  <si>
    <t>Basaveshwara Nagara</t>
  </si>
  <si>
    <t>100-16-000002</t>
  </si>
  <si>
    <t>Annual Operation And maintenance Of Street Lights at Basaveswaranagara in Ward No- 100</t>
  </si>
  <si>
    <t>Sri Gopal  Electricals</t>
  </si>
  <si>
    <t>100-17-000040</t>
  </si>
  <si>
    <t>Improvements of drain and culverts at 14th main road of university layout in Basaveshwaranagar in ward no 100-</t>
  </si>
  <si>
    <t>Chaitra S</t>
  </si>
  <si>
    <t>100-17-000047</t>
  </si>
  <si>
    <t>Improvements of drains and culverts near Kadambi school road in Basaveshwaranagar in ward no-100</t>
  </si>
  <si>
    <t>A. Raja</t>
  </si>
  <si>
    <t>100-17-000053</t>
  </si>
  <si>
    <t>Providing drinking water works in Ward No 100 in Basaveshwaranagar</t>
  </si>
  <si>
    <t>100-17-000035</t>
  </si>
  <si>
    <t>Improvements of drains and culverts at 2nd cross of university layout in Basaveshwaranagar in ward no 100-</t>
  </si>
  <si>
    <t>B.N. NaveenKumar</t>
  </si>
  <si>
    <t>100-17-000036</t>
  </si>
  <si>
    <t>Improvements of drain and culverts at 1st cross of university layout in Basaveshwaranagar in ward no 100-</t>
  </si>
  <si>
    <t>B.N. Naveenkumar</t>
  </si>
  <si>
    <t>100-17-000037</t>
  </si>
  <si>
    <t>Improvements of drain and culverts at 15th and 15th C cross of university layout in Basaveshwaranagar in ward no 100-</t>
  </si>
  <si>
    <t>100-17-000041</t>
  </si>
  <si>
    <t>Improvements of drain and culverts at 11th main road of university layout in Basaveshwaranagar in ward no 100-</t>
  </si>
  <si>
    <t>B.N. Naveen Kumar</t>
  </si>
  <si>
    <t>100-17-000003</t>
  </si>
  <si>
    <t>Improvements of drains and culverts and providing missing slabs around Mathru Nursing Home Basaveshwaranagar ward 100</t>
  </si>
  <si>
    <t>100-17-000002</t>
  </si>
  <si>
    <t>Improvements of drains and culverts and providing missing slabs to 3rd main road 3rd stage 3rd block Basaveshwaranagar ward 100</t>
  </si>
  <si>
    <t>100-17-000001</t>
  </si>
  <si>
    <t>Improvements of drains and culverts and providing missing slabs to 2nd main road 3rd stage 3rd block Basaveshwaranagar ward 100</t>
  </si>
  <si>
    <t>100-17-000004</t>
  </si>
  <si>
    <t>Improvements of drains and culverts and providing missing slabs to 8th A and 8th B main road Basaveshwaranagar ward 100</t>
  </si>
  <si>
    <t>100-17-000039</t>
  </si>
  <si>
    <t>Improvements of drain and culverts at 15th A main of university layout in Basaveshwaranagar in ward no 100-</t>
  </si>
  <si>
    <t>100-17-000005</t>
  </si>
  <si>
    <t>Improvements of drains and culverts and providing missing slabs to 5th main road School 3rd stage 3rd block Basaveshwaranagar ward 100</t>
  </si>
  <si>
    <t>100-17-000009</t>
  </si>
  <si>
    <t>Improvements to drains and culverts 3rd C cross Judges Colony 2nd block 3rd stage Basaveshwaranagara in ward no 100</t>
  </si>
  <si>
    <t>100-17-000008</t>
  </si>
  <si>
    <t>Improvmeents to drains and culverts 3rd B cross Judges Colony 2nd block 3rd stage Basaveshwaranagara in ward no 100</t>
  </si>
  <si>
    <t>100-17-000010</t>
  </si>
  <si>
    <t>Improvmeents to drains and culverts 3rd F cross Judges Colony 2nd block 3rd stage Basaveshwaranagara in ward no 100</t>
  </si>
  <si>
    <t>100-19-000001</t>
  </si>
  <si>
    <t>Improvements to drains and Providing Cement Concrete roads to north side in Saneguruvanahalli in ward No 100</t>
  </si>
  <si>
    <t>100-19-000002</t>
  </si>
  <si>
    <t>Improvements to drains and Providing Cement Concrete roads to South side in Saneguruvanahalli in ward No 100</t>
  </si>
  <si>
    <t>July</t>
  </si>
  <si>
    <t>100-17-000026</t>
  </si>
  <si>
    <t>Improvements to drains and culverts and Providing missing slabs to 15th main road Manjunathanagar in ward no 100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</si>
  <si>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</si>
  <si>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</si>
  <si>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100-17-000025</t>
  </si>
  <si>
    <t>Improvements to drains and culverts and Providing missing slabs to 14th main road Manjunathanagar in ward no 100</t>
  </si>
  <si>
    <t>100-17-000027</t>
  </si>
  <si>
    <t>Improvements to drains and culverts and Providing missing slabs to 16th main road Manjunathanagar in ward no 100</t>
  </si>
  <si>
    <t>100-17-000028</t>
  </si>
  <si>
    <t>Improvements to drains and culverts and Providing missing slabs to 17th main road Manjunathanagar in ward no 100</t>
  </si>
  <si>
    <t>100-17-000020</t>
  </si>
  <si>
    <t>Improvements to drains and culverts and Providing missing slabs to 9th main road Manjunathanagar in ward no 100</t>
  </si>
  <si>
    <t>100-17-000029</t>
  </si>
  <si>
    <t>Improvements to drains and culverts and Providing missing slabs to 10th A main road Manjunathanagar in ward no 100</t>
  </si>
  <si>
    <t>100-17-000033</t>
  </si>
  <si>
    <t>Improvements for drains and culverts at 8th C main road of 3rd stage 3rd block of Basaveshwaranagar in ward no 100-</t>
  </si>
  <si>
    <t>B. N. Naveen Kumar</t>
  </si>
  <si>
    <t>100-17-000046</t>
  </si>
  <si>
    <t>Improvements of drains and culverts at 15th B cross of University layout in Basaveshwaranagar in ward no-100</t>
  </si>
  <si>
    <t>100-17-000045</t>
  </si>
  <si>
    <t>Lowering and leveling in Nethaji Subhash Chandra Bose play ground in Basaveshwaranagar in ward no-100</t>
  </si>
  <si>
    <t>100-17-000042</t>
  </si>
  <si>
    <t>Desilting of drain in ward no-100 Basaveshwaranagar</t>
  </si>
  <si>
    <t>100-17-000038</t>
  </si>
  <si>
    <t>Improvements of drain and culverts at 2nd A cross of university layout in Basaveshwaranagar in ward no 100-</t>
  </si>
  <si>
    <t>100-17-000043</t>
  </si>
  <si>
    <t>Providing cement patch work in ward no-100 Basaveshwaranagar</t>
  </si>
  <si>
    <t>100-17-000021</t>
  </si>
  <si>
    <t>Improvements to drains and culverts and Providing missing slabs to 10th main road Manjunathanagar in ward no 100</t>
  </si>
  <si>
    <t>100-17-000024</t>
  </si>
  <si>
    <t>Improvements to drains and culverts and Providing missing slabs to 13th main road Manjunathanagar in ward no 100</t>
  </si>
  <si>
    <t>100-17-000023</t>
  </si>
  <si>
    <t>Improvements to drains and culverts and Providing missing slabs to 12th main road Manjunathanagar in ward no 100</t>
  </si>
  <si>
    <t>100-17-000022</t>
  </si>
  <si>
    <t>Improvements to drains and culverts and Providing missing slabs to 11th main road Manjunathanagar in ward no 100</t>
  </si>
  <si>
    <t>100-17-000055</t>
  </si>
  <si>
    <t>Improvements and Asphalting to 6th main road (Thimmaiah road to Carmel School and via Mathru Nursing Home to Siddaiah Puranik road ) in ward no 100</t>
  </si>
  <si>
    <t>M/s. Civil Quality Consultants and Engineers</t>
  </si>
  <si>
    <t>P3158</t>
  </si>
  <si>
    <t>SIP Infrastructure Project works</t>
  </si>
  <si>
    <t>August</t>
  </si>
  <si>
    <t>Sri Gopal Electricals</t>
  </si>
  <si>
    <t>November</t>
  </si>
  <si>
    <t>December</t>
  </si>
  <si>
    <t>100-18-000003</t>
  </si>
  <si>
    <t>Improvements to drain and asphalting to damaged roads in 3rd block 3rd stage in Basaveshwara nagar ward no 100</t>
  </si>
  <si>
    <t>M.S Venkatesh</t>
  </si>
  <si>
    <t>100-18-000001</t>
  </si>
  <si>
    <t>Improvements to drain and asphalting to damaged roads in Manjunatha nagar in ward no 100</t>
  </si>
  <si>
    <t>100-18-000002</t>
  </si>
  <si>
    <t>Improvements to drain and asphalting to damaged roads in Basaveshwara nagar in ward no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</si>
</sst>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tabSelected="1" topLeftCell="A31" workbookViewId="0">
      <selection activeCell="A2" sqref="A2:XFD42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3377</v>
      </c>
      <c r="B2" s="5" t="s">
        <v>28</v>
      </c>
      <c r="C2" s="6">
        <v>43580</v>
      </c>
      <c r="D2" s="7">
        <v>100</v>
      </c>
      <c r="E2" s="8" t="s">
        <v>47</v>
      </c>
      <c r="F2" s="7" t="s">
        <v>48</v>
      </c>
      <c r="G2" s="8" t="s">
        <v>49</v>
      </c>
      <c r="H2" s="7" t="str">
        <f>"000019"</f>
        <v>000019</v>
      </c>
      <c r="I2" s="6">
        <v>42940</v>
      </c>
      <c r="J2" s="7" t="str">
        <f>"000190"</f>
        <v>000190</v>
      </c>
      <c r="K2" s="6">
        <v>43479</v>
      </c>
      <c r="L2" s="7" t="str">
        <f>"000188"</f>
        <v>000188</v>
      </c>
      <c r="M2" s="6">
        <v>43479</v>
      </c>
      <c r="N2" s="7">
        <v>16</v>
      </c>
      <c r="O2" s="7" t="str">
        <f>"000847"</f>
        <v>000847</v>
      </c>
      <c r="P2" s="6">
        <v>43578</v>
      </c>
      <c r="Q2" s="9">
        <v>12.273260000000001</v>
      </c>
      <c r="R2" s="9">
        <v>1.21329</v>
      </c>
      <c r="S2" s="9">
        <v>11.05997</v>
      </c>
      <c r="T2" s="7">
        <v>29</v>
      </c>
      <c r="U2" s="6">
        <v>43580</v>
      </c>
      <c r="V2" s="7">
        <v>9916368736</v>
      </c>
      <c r="W2" s="8" t="s">
        <v>50</v>
      </c>
      <c r="X2" s="7" t="s">
        <v>34</v>
      </c>
      <c r="Y2" s="8" t="s">
        <v>33</v>
      </c>
      <c r="Z2" s="7" t="s">
        <v>37</v>
      </c>
      <c r="AA2" s="8" t="s">
        <v>38</v>
      </c>
      <c r="AB2" s="9">
        <f t="shared" ref="AB2:AB18" si="0">Q2/100</f>
        <v>0.12273260000000001</v>
      </c>
    </row>
    <row r="3" spans="1:28" x14ac:dyDescent="0.35">
      <c r="A3" s="4">
        <v>3378</v>
      </c>
      <c r="B3" s="5" t="s">
        <v>32</v>
      </c>
      <c r="C3" s="6">
        <v>43602</v>
      </c>
      <c r="D3" s="7">
        <v>100</v>
      </c>
      <c r="E3" s="8" t="s">
        <v>47</v>
      </c>
      <c r="F3" s="7" t="s">
        <v>51</v>
      </c>
      <c r="G3" s="8" t="s">
        <v>52</v>
      </c>
      <c r="H3" s="7" t="str">
        <f>"000064"</f>
        <v>000064</v>
      </c>
      <c r="I3" s="6">
        <v>42955</v>
      </c>
      <c r="J3" s="7" t="str">
        <f>"000010"</f>
        <v>000010</v>
      </c>
      <c r="K3" s="6">
        <v>42977</v>
      </c>
      <c r="L3" s="7" t="str">
        <f>"000399"</f>
        <v>000399</v>
      </c>
      <c r="M3" s="6">
        <v>42986</v>
      </c>
      <c r="N3" s="7">
        <v>17</v>
      </c>
      <c r="O3" s="7" t="str">
        <f>"001514"</f>
        <v>001514</v>
      </c>
      <c r="P3" s="6">
        <v>43599</v>
      </c>
      <c r="Q3" s="9">
        <v>8.6037999999999997</v>
      </c>
      <c r="R3" s="9">
        <v>1.0503199999999999</v>
      </c>
      <c r="S3" s="9">
        <v>7.5534800000000004</v>
      </c>
      <c r="T3" s="7">
        <v>49</v>
      </c>
      <c r="U3" s="6">
        <v>43602</v>
      </c>
      <c r="V3" s="7">
        <v>9731169150</v>
      </c>
      <c r="W3" s="8" t="s">
        <v>53</v>
      </c>
      <c r="X3" s="7" t="s">
        <v>30</v>
      </c>
      <c r="Y3" s="8" t="s">
        <v>31</v>
      </c>
      <c r="Z3" s="7" t="s">
        <v>45</v>
      </c>
      <c r="AA3" s="8" t="s">
        <v>46</v>
      </c>
      <c r="AB3" s="9">
        <f t="shared" si="0"/>
        <v>8.6038000000000003E-2</v>
      </c>
    </row>
    <row r="4" spans="1:28" x14ac:dyDescent="0.35">
      <c r="A4" s="4">
        <v>3379</v>
      </c>
      <c r="B4" s="5" t="s">
        <v>32</v>
      </c>
      <c r="C4" s="6">
        <v>43603</v>
      </c>
      <c r="D4" s="7">
        <v>100</v>
      </c>
      <c r="E4" s="8" t="s">
        <v>47</v>
      </c>
      <c r="F4" s="7" t="s">
        <v>54</v>
      </c>
      <c r="G4" s="8" t="s">
        <v>55</v>
      </c>
      <c r="H4" s="7" t="str">
        <f>"000101"</f>
        <v>000101</v>
      </c>
      <c r="I4" s="6">
        <v>42986</v>
      </c>
      <c r="J4" s="7" t="str">
        <f>"000186"</f>
        <v>000186</v>
      </c>
      <c r="K4" s="6">
        <v>43018</v>
      </c>
      <c r="L4" s="7" t="str">
        <f>"000409"</f>
        <v>000409</v>
      </c>
      <c r="M4" s="6">
        <v>43032</v>
      </c>
      <c r="N4" s="7">
        <v>17</v>
      </c>
      <c r="O4" s="7" t="str">
        <f>"001742"</f>
        <v>001742</v>
      </c>
      <c r="P4" s="6">
        <v>43602</v>
      </c>
      <c r="Q4" s="9">
        <v>13.24414</v>
      </c>
      <c r="R4" s="9">
        <v>1.55155</v>
      </c>
      <c r="S4" s="9">
        <v>11.692589999999999</v>
      </c>
      <c r="T4" s="7">
        <v>50</v>
      </c>
      <c r="U4" s="6">
        <v>43603</v>
      </c>
      <c r="V4" s="7">
        <v>9731169150</v>
      </c>
      <c r="W4" s="8" t="s">
        <v>56</v>
      </c>
      <c r="X4" s="7" t="s">
        <v>30</v>
      </c>
      <c r="Y4" s="8" t="s">
        <v>31</v>
      </c>
      <c r="Z4" s="7" t="s">
        <v>45</v>
      </c>
      <c r="AA4" s="8" t="s">
        <v>46</v>
      </c>
      <c r="AB4" s="9">
        <f t="shared" si="0"/>
        <v>0.13244139999999999</v>
      </c>
    </row>
    <row r="5" spans="1:28" x14ac:dyDescent="0.35">
      <c r="A5" s="4">
        <v>3380</v>
      </c>
      <c r="B5" s="5" t="s">
        <v>32</v>
      </c>
      <c r="C5" s="6">
        <v>43606</v>
      </c>
      <c r="D5" s="7">
        <v>100</v>
      </c>
      <c r="E5" s="8" t="s">
        <v>47</v>
      </c>
      <c r="F5" s="7" t="s">
        <v>57</v>
      </c>
      <c r="G5" s="8" t="s">
        <v>58</v>
      </c>
      <c r="H5" s="7" t="str">
        <f>"000287"</f>
        <v>000287</v>
      </c>
      <c r="I5" s="6">
        <v>43264</v>
      </c>
      <c r="J5" s="7" t="str">
        <f>"000091"</f>
        <v>000091</v>
      </c>
      <c r="K5" s="6">
        <v>43500</v>
      </c>
      <c r="L5" s="7" t="str">
        <f>"000168"</f>
        <v>000168</v>
      </c>
      <c r="M5" s="6">
        <v>43526</v>
      </c>
      <c r="N5" s="7">
        <v>17</v>
      </c>
      <c r="O5" s="7" t="str">
        <f>"001777"</f>
        <v>001777</v>
      </c>
      <c r="P5" s="6">
        <v>43603</v>
      </c>
      <c r="Q5" s="9">
        <v>12.83924</v>
      </c>
      <c r="R5" s="9">
        <v>1.4978</v>
      </c>
      <c r="S5" s="9">
        <v>11.34144</v>
      </c>
      <c r="T5" s="7">
        <v>53</v>
      </c>
      <c r="U5" s="6">
        <v>43606</v>
      </c>
      <c r="V5" s="7">
        <v>9449863068</v>
      </c>
      <c r="W5" s="8" t="s">
        <v>43</v>
      </c>
      <c r="X5" s="7" t="s">
        <v>35</v>
      </c>
      <c r="Y5" s="8" t="s">
        <v>36</v>
      </c>
      <c r="Z5" s="7" t="s">
        <v>45</v>
      </c>
      <c r="AA5" s="8" t="s">
        <v>46</v>
      </c>
      <c r="AB5" s="9">
        <f t="shared" si="0"/>
        <v>0.12839239999999999</v>
      </c>
    </row>
    <row r="6" spans="1:28" x14ac:dyDescent="0.35">
      <c r="A6" s="4">
        <v>3381</v>
      </c>
      <c r="B6" s="5" t="s">
        <v>32</v>
      </c>
      <c r="C6" s="6">
        <v>43609</v>
      </c>
      <c r="D6" s="7">
        <v>100</v>
      </c>
      <c r="E6" s="8" t="s">
        <v>47</v>
      </c>
      <c r="F6" s="7" t="s">
        <v>59</v>
      </c>
      <c r="G6" s="8" t="s">
        <v>60</v>
      </c>
      <c r="H6" s="7" t="str">
        <f>"000051"</f>
        <v>000051</v>
      </c>
      <c r="I6" s="6">
        <v>42949</v>
      </c>
      <c r="J6" s="7" t="str">
        <f>""</f>
        <v/>
      </c>
      <c r="K6" s="6"/>
      <c r="L6" s="7" t="str">
        <f>""</f>
        <v/>
      </c>
      <c r="M6" s="6"/>
      <c r="N6" s="7">
        <v>17</v>
      </c>
      <c r="O6" s="7" t="str">
        <f>""</f>
        <v/>
      </c>
      <c r="P6" s="6"/>
      <c r="Q6" s="9">
        <v>12.5938</v>
      </c>
      <c r="R6" s="9">
        <v>1.4769699999999999</v>
      </c>
      <c r="S6" s="9">
        <v>11.11683</v>
      </c>
      <c r="T6" s="7">
        <v>57</v>
      </c>
      <c r="U6" s="6">
        <v>43609</v>
      </c>
      <c r="V6" s="7">
        <v>9480087461</v>
      </c>
      <c r="W6" s="8" t="s">
        <v>61</v>
      </c>
      <c r="X6" s="7" t="s">
        <v>30</v>
      </c>
      <c r="Y6" s="8" t="s">
        <v>31</v>
      </c>
      <c r="Z6" s="7" t="s">
        <v>45</v>
      </c>
      <c r="AA6" s="8" t="s">
        <v>46</v>
      </c>
      <c r="AB6" s="9">
        <f t="shared" si="0"/>
        <v>0.12593799999999999</v>
      </c>
    </row>
    <row r="7" spans="1:28" x14ac:dyDescent="0.35">
      <c r="A7" s="4">
        <v>3382</v>
      </c>
      <c r="B7" s="5" t="s">
        <v>32</v>
      </c>
      <c r="C7" s="6">
        <v>43609</v>
      </c>
      <c r="D7" s="7">
        <v>100</v>
      </c>
      <c r="E7" s="8" t="s">
        <v>47</v>
      </c>
      <c r="F7" s="7" t="s">
        <v>62</v>
      </c>
      <c r="G7" s="8" t="s">
        <v>63</v>
      </c>
      <c r="H7" s="7" t="str">
        <f>"000054"</f>
        <v>000054</v>
      </c>
      <c r="I7" s="6">
        <v>42949</v>
      </c>
      <c r="J7" s="7" t="str">
        <f>"000196"</f>
        <v>000196</v>
      </c>
      <c r="K7" s="6">
        <v>43020</v>
      </c>
      <c r="L7" s="7" t="str">
        <f>"000440"</f>
        <v>000440</v>
      </c>
      <c r="M7" s="6">
        <v>43039</v>
      </c>
      <c r="N7" s="7">
        <v>17</v>
      </c>
      <c r="O7" s="7" t="str">
        <f>"001967"</f>
        <v>001967</v>
      </c>
      <c r="P7" s="6">
        <v>43607</v>
      </c>
      <c r="Q7" s="9">
        <v>12.91999</v>
      </c>
      <c r="R7" s="9">
        <v>1.5151399999999999</v>
      </c>
      <c r="S7" s="9">
        <v>11.40485</v>
      </c>
      <c r="T7" s="7">
        <v>57</v>
      </c>
      <c r="U7" s="6">
        <v>43609</v>
      </c>
      <c r="V7" s="7">
        <v>9480087461</v>
      </c>
      <c r="W7" s="8" t="s">
        <v>64</v>
      </c>
      <c r="X7" s="7" t="s">
        <v>30</v>
      </c>
      <c r="Y7" s="8" t="s">
        <v>31</v>
      </c>
      <c r="Z7" s="7" t="s">
        <v>45</v>
      </c>
      <c r="AA7" s="8" t="s">
        <v>46</v>
      </c>
      <c r="AB7" s="9">
        <f t="shared" si="0"/>
        <v>0.12919990000000001</v>
      </c>
    </row>
    <row r="8" spans="1:28" x14ac:dyDescent="0.35">
      <c r="A8" s="4">
        <v>3383</v>
      </c>
      <c r="B8" s="5" t="s">
        <v>32</v>
      </c>
      <c r="C8" s="6">
        <v>43609</v>
      </c>
      <c r="D8" s="7">
        <v>100</v>
      </c>
      <c r="E8" s="8" t="s">
        <v>47</v>
      </c>
      <c r="F8" s="7" t="s">
        <v>65</v>
      </c>
      <c r="G8" s="8" t="s">
        <v>66</v>
      </c>
      <c r="H8" s="7" t="str">
        <f>"000034"</f>
        <v>000034</v>
      </c>
      <c r="I8" s="6">
        <v>42947</v>
      </c>
      <c r="J8" s="7" t="str">
        <f>"000193"</f>
        <v>000193</v>
      </c>
      <c r="K8" s="6">
        <v>43020</v>
      </c>
      <c r="L8" s="7" t="str">
        <f>"000441"</f>
        <v>000441</v>
      </c>
      <c r="M8" s="6">
        <v>43039</v>
      </c>
      <c r="N8" s="7">
        <v>17</v>
      </c>
      <c r="O8" s="7" t="str">
        <f>"001968"</f>
        <v>001968</v>
      </c>
      <c r="P8" s="6">
        <v>43607</v>
      </c>
      <c r="Q8" s="9">
        <v>8.4467999999999996</v>
      </c>
      <c r="R8" s="9">
        <v>0.95015000000000005</v>
      </c>
      <c r="S8" s="9">
        <v>7.4966499999999998</v>
      </c>
      <c r="T8" s="7">
        <v>57</v>
      </c>
      <c r="U8" s="6">
        <v>43609</v>
      </c>
      <c r="V8" s="7">
        <v>9480087461</v>
      </c>
      <c r="W8" s="8" t="s">
        <v>61</v>
      </c>
      <c r="X8" s="7" t="s">
        <v>30</v>
      </c>
      <c r="Y8" s="8" t="s">
        <v>31</v>
      </c>
      <c r="Z8" s="7" t="s">
        <v>45</v>
      </c>
      <c r="AA8" s="8" t="s">
        <v>46</v>
      </c>
      <c r="AB8" s="9">
        <f t="shared" si="0"/>
        <v>8.4468000000000001E-2</v>
      </c>
    </row>
    <row r="9" spans="1:28" x14ac:dyDescent="0.35">
      <c r="A9" s="4">
        <v>3384</v>
      </c>
      <c r="B9" s="5" t="s">
        <v>32</v>
      </c>
      <c r="C9" s="6">
        <v>43615</v>
      </c>
      <c r="D9" s="7">
        <v>100</v>
      </c>
      <c r="E9" s="8" t="s">
        <v>47</v>
      </c>
      <c r="F9" s="7" t="s">
        <v>67</v>
      </c>
      <c r="G9" s="8" t="s">
        <v>68</v>
      </c>
      <c r="H9" s="7" t="str">
        <f>"000036"</f>
        <v>000036</v>
      </c>
      <c r="I9" s="6">
        <v>42947</v>
      </c>
      <c r="J9" s="7" t="str">
        <f>"000192"</f>
        <v>000192</v>
      </c>
      <c r="K9" s="6">
        <v>43020</v>
      </c>
      <c r="L9" s="7" t="str">
        <f>"000448"</f>
        <v>000448</v>
      </c>
      <c r="M9" s="6">
        <v>43042</v>
      </c>
      <c r="N9" s="7">
        <v>17</v>
      </c>
      <c r="O9" s="7" t="str">
        <f>"002133"</f>
        <v>002133</v>
      </c>
      <c r="P9" s="6">
        <v>43613</v>
      </c>
      <c r="Q9" s="9">
        <v>8.6300799999999995</v>
      </c>
      <c r="R9" s="9">
        <v>0.97065999999999997</v>
      </c>
      <c r="S9" s="9">
        <v>7.6594199999999999</v>
      </c>
      <c r="T9" s="7">
        <v>65</v>
      </c>
      <c r="U9" s="6">
        <v>43615</v>
      </c>
      <c r="V9" s="7">
        <v>9480087461</v>
      </c>
      <c r="W9" s="8" t="s">
        <v>69</v>
      </c>
      <c r="X9" s="7" t="s">
        <v>30</v>
      </c>
      <c r="Y9" s="8" t="s">
        <v>31</v>
      </c>
      <c r="Z9" s="7" t="s">
        <v>45</v>
      </c>
      <c r="AA9" s="8" t="s">
        <v>46</v>
      </c>
      <c r="AB9" s="9">
        <f t="shared" si="0"/>
        <v>8.6300799999999997E-2</v>
      </c>
    </row>
    <row r="10" spans="1:28" x14ac:dyDescent="0.35">
      <c r="A10" s="4">
        <v>3385</v>
      </c>
      <c r="B10" s="5" t="s">
        <v>32</v>
      </c>
      <c r="C10" s="6">
        <v>43615</v>
      </c>
      <c r="D10" s="7">
        <v>100</v>
      </c>
      <c r="E10" s="8" t="s">
        <v>47</v>
      </c>
      <c r="F10" s="7" t="s">
        <v>70</v>
      </c>
      <c r="G10" s="8" t="s">
        <v>71</v>
      </c>
      <c r="H10" s="7" t="str">
        <f>"000078"</f>
        <v>000078</v>
      </c>
      <c r="I10" s="6">
        <v>42957</v>
      </c>
      <c r="J10" s="7" t="str">
        <f>"000191"</f>
        <v>000191</v>
      </c>
      <c r="K10" s="6">
        <v>43019</v>
      </c>
      <c r="L10" s="7" t="str">
        <f>"000449"</f>
        <v>000449</v>
      </c>
      <c r="M10" s="6">
        <v>43042</v>
      </c>
      <c r="N10" s="7">
        <v>17</v>
      </c>
      <c r="O10" s="7" t="str">
        <f>"002134"</f>
        <v>002134</v>
      </c>
      <c r="P10" s="6">
        <v>43613</v>
      </c>
      <c r="Q10" s="9">
        <v>19.8873</v>
      </c>
      <c r="R10" s="9">
        <v>2.3267899999999999</v>
      </c>
      <c r="S10" s="9">
        <v>17.560510000000001</v>
      </c>
      <c r="T10" s="7">
        <v>65</v>
      </c>
      <c r="U10" s="6">
        <v>43615</v>
      </c>
      <c r="V10" s="7">
        <v>9731169150</v>
      </c>
      <c r="W10" s="8" t="s">
        <v>64</v>
      </c>
      <c r="X10" s="7" t="s">
        <v>41</v>
      </c>
      <c r="Y10" s="8" t="s">
        <v>42</v>
      </c>
      <c r="Z10" s="7" t="s">
        <v>45</v>
      </c>
      <c r="AA10" s="8" t="s">
        <v>46</v>
      </c>
      <c r="AB10" s="9">
        <f t="shared" si="0"/>
        <v>0.19887299999999999</v>
      </c>
    </row>
    <row r="11" spans="1:28" x14ac:dyDescent="0.35">
      <c r="A11" s="4">
        <v>3386</v>
      </c>
      <c r="B11" s="5" t="s">
        <v>32</v>
      </c>
      <c r="C11" s="6">
        <v>43615</v>
      </c>
      <c r="D11" s="7">
        <v>100</v>
      </c>
      <c r="E11" s="8" t="s">
        <v>47</v>
      </c>
      <c r="F11" s="7" t="s">
        <v>72</v>
      </c>
      <c r="G11" s="8" t="s">
        <v>73</v>
      </c>
      <c r="H11" s="7" t="str">
        <f>"000077"</f>
        <v>000077</v>
      </c>
      <c r="I11" s="6">
        <v>42957</v>
      </c>
      <c r="J11" s="7" t="str">
        <f>"000190"</f>
        <v>000190</v>
      </c>
      <c r="K11" s="6">
        <v>43019</v>
      </c>
      <c r="L11" s="7" t="str">
        <f>"000450"</f>
        <v>000450</v>
      </c>
      <c r="M11" s="6">
        <v>43042</v>
      </c>
      <c r="N11" s="7">
        <v>17</v>
      </c>
      <c r="O11" s="7" t="str">
        <f>"002135"</f>
        <v>002135</v>
      </c>
      <c r="P11" s="6">
        <v>43613</v>
      </c>
      <c r="Q11" s="9">
        <v>19.486820000000002</v>
      </c>
      <c r="R11" s="9">
        <v>2.2799</v>
      </c>
      <c r="S11" s="9">
        <v>17.20692</v>
      </c>
      <c r="T11" s="7">
        <v>65</v>
      </c>
      <c r="U11" s="6">
        <v>43615</v>
      </c>
      <c r="V11" s="7">
        <v>9731169150</v>
      </c>
      <c r="W11" s="8" t="s">
        <v>69</v>
      </c>
      <c r="X11" s="7" t="s">
        <v>41</v>
      </c>
      <c r="Y11" s="8" t="s">
        <v>42</v>
      </c>
      <c r="Z11" s="7" t="s">
        <v>45</v>
      </c>
      <c r="AA11" s="8" t="s">
        <v>46</v>
      </c>
      <c r="AB11" s="9">
        <f t="shared" si="0"/>
        <v>0.19486820000000002</v>
      </c>
    </row>
    <row r="12" spans="1:28" x14ac:dyDescent="0.35">
      <c r="A12" s="4">
        <v>3387</v>
      </c>
      <c r="B12" s="5" t="s">
        <v>32</v>
      </c>
      <c r="C12" s="6">
        <v>43615</v>
      </c>
      <c r="D12" s="7">
        <v>100</v>
      </c>
      <c r="E12" s="8" t="s">
        <v>47</v>
      </c>
      <c r="F12" s="7" t="s">
        <v>74</v>
      </c>
      <c r="G12" s="8" t="s">
        <v>75</v>
      </c>
      <c r="H12" s="7" t="str">
        <f>"000076"</f>
        <v>000076</v>
      </c>
      <c r="I12" s="6">
        <v>42957</v>
      </c>
      <c r="J12" s="7" t="str">
        <f>"000189"</f>
        <v>000189</v>
      </c>
      <c r="K12" s="6">
        <v>43019</v>
      </c>
      <c r="L12" s="7" t="str">
        <f>"000451"</f>
        <v>000451</v>
      </c>
      <c r="M12" s="6">
        <v>43042</v>
      </c>
      <c r="N12" s="7">
        <v>17</v>
      </c>
      <c r="O12" s="7" t="str">
        <f>"002136"</f>
        <v>002136</v>
      </c>
      <c r="P12" s="6">
        <v>43613</v>
      </c>
      <c r="Q12" s="9">
        <v>17.380500000000001</v>
      </c>
      <c r="R12" s="9">
        <v>2.0335100000000002</v>
      </c>
      <c r="S12" s="9">
        <v>15.34699</v>
      </c>
      <c r="T12" s="7">
        <v>65</v>
      </c>
      <c r="U12" s="6">
        <v>43615</v>
      </c>
      <c r="V12" s="7">
        <v>9731169150</v>
      </c>
      <c r="W12" s="8" t="s">
        <v>64</v>
      </c>
      <c r="X12" s="7" t="s">
        <v>41</v>
      </c>
      <c r="Y12" s="8" t="s">
        <v>42</v>
      </c>
      <c r="Z12" s="7" t="s">
        <v>45</v>
      </c>
      <c r="AA12" s="8" t="s">
        <v>46</v>
      </c>
      <c r="AB12" s="9">
        <f t="shared" si="0"/>
        <v>0.17380500000000002</v>
      </c>
    </row>
    <row r="13" spans="1:28" x14ac:dyDescent="0.35">
      <c r="A13" s="4">
        <v>3388</v>
      </c>
      <c r="B13" s="5" t="s">
        <v>32</v>
      </c>
      <c r="C13" s="6">
        <v>43615</v>
      </c>
      <c r="D13" s="7">
        <v>100</v>
      </c>
      <c r="E13" s="8" t="s">
        <v>47</v>
      </c>
      <c r="F13" s="7" t="s">
        <v>76</v>
      </c>
      <c r="G13" s="8" t="s">
        <v>77</v>
      </c>
      <c r="H13" s="7" t="str">
        <f>"000079"</f>
        <v>000079</v>
      </c>
      <c r="I13" s="6">
        <v>42957</v>
      </c>
      <c r="J13" s="7" t="str">
        <f>"000195"</f>
        <v>000195</v>
      </c>
      <c r="K13" s="6">
        <v>43020</v>
      </c>
      <c r="L13" s="7" t="str">
        <f>"000453"</f>
        <v>000453</v>
      </c>
      <c r="M13" s="6">
        <v>43042</v>
      </c>
      <c r="N13" s="7">
        <v>17</v>
      </c>
      <c r="O13" s="7" t="str">
        <f>"002138"</f>
        <v>002138</v>
      </c>
      <c r="P13" s="6">
        <v>43613</v>
      </c>
      <c r="Q13" s="9">
        <v>17.36008</v>
      </c>
      <c r="R13" s="9">
        <v>2.03112</v>
      </c>
      <c r="S13" s="9">
        <v>15.32896</v>
      </c>
      <c r="T13" s="7">
        <v>65</v>
      </c>
      <c r="U13" s="6">
        <v>43615</v>
      </c>
      <c r="V13" s="7">
        <v>9731169150</v>
      </c>
      <c r="W13" s="8" t="s">
        <v>64</v>
      </c>
      <c r="X13" s="7" t="s">
        <v>41</v>
      </c>
      <c r="Y13" s="8" t="s">
        <v>42</v>
      </c>
      <c r="Z13" s="7" t="s">
        <v>45</v>
      </c>
      <c r="AA13" s="8" t="s">
        <v>46</v>
      </c>
      <c r="AB13" s="9">
        <f t="shared" si="0"/>
        <v>0.1736008</v>
      </c>
    </row>
    <row r="14" spans="1:28" x14ac:dyDescent="0.35">
      <c r="A14" s="4">
        <v>3389</v>
      </c>
      <c r="B14" s="5" t="s">
        <v>32</v>
      </c>
      <c r="C14" s="6">
        <v>43615</v>
      </c>
      <c r="D14" s="7">
        <v>100</v>
      </c>
      <c r="E14" s="8" t="s">
        <v>47</v>
      </c>
      <c r="F14" s="7" t="s">
        <v>78</v>
      </c>
      <c r="G14" s="8" t="s">
        <v>79</v>
      </c>
      <c r="H14" s="7" t="str">
        <f>"000043"</f>
        <v>000043</v>
      </c>
      <c r="I14" s="6">
        <v>42949</v>
      </c>
      <c r="J14" s="7" t="str">
        <f>"000197"</f>
        <v>000197</v>
      </c>
      <c r="K14" s="6">
        <v>43020</v>
      </c>
      <c r="L14" s="7" t="str">
        <f>"000454"</f>
        <v>000454</v>
      </c>
      <c r="M14" s="6">
        <v>43042</v>
      </c>
      <c r="N14" s="7">
        <v>17</v>
      </c>
      <c r="O14" s="7" t="str">
        <f>"002140"</f>
        <v>002140</v>
      </c>
      <c r="P14" s="6">
        <v>43613</v>
      </c>
      <c r="Q14" s="9">
        <v>8.6067999999999998</v>
      </c>
      <c r="R14" s="9">
        <v>0.96801000000000004</v>
      </c>
      <c r="S14" s="9">
        <v>7.6387900000000002</v>
      </c>
      <c r="T14" s="7">
        <v>65</v>
      </c>
      <c r="U14" s="6">
        <v>43615</v>
      </c>
      <c r="V14" s="7">
        <v>9480087461</v>
      </c>
      <c r="W14" s="8" t="s">
        <v>64</v>
      </c>
      <c r="X14" s="7" t="s">
        <v>30</v>
      </c>
      <c r="Y14" s="8" t="s">
        <v>31</v>
      </c>
      <c r="Z14" s="7" t="s">
        <v>45</v>
      </c>
      <c r="AA14" s="8" t="s">
        <v>46</v>
      </c>
      <c r="AB14" s="9">
        <f t="shared" si="0"/>
        <v>8.6067999999999992E-2</v>
      </c>
    </row>
    <row r="15" spans="1:28" x14ac:dyDescent="0.35">
      <c r="A15" s="4">
        <v>3390</v>
      </c>
      <c r="B15" s="5" t="s">
        <v>32</v>
      </c>
      <c r="C15" s="6">
        <v>43615</v>
      </c>
      <c r="D15" s="7">
        <v>100</v>
      </c>
      <c r="E15" s="8" t="s">
        <v>47</v>
      </c>
      <c r="F15" s="7" t="s">
        <v>80</v>
      </c>
      <c r="G15" s="8" t="s">
        <v>81</v>
      </c>
      <c r="H15" s="7" t="str">
        <f>"000081"</f>
        <v>000081</v>
      </c>
      <c r="I15" s="6">
        <v>42957</v>
      </c>
      <c r="J15" s="7" t="str">
        <f>"000187"</f>
        <v>000187</v>
      </c>
      <c r="K15" s="6">
        <v>43019</v>
      </c>
      <c r="L15" s="7" t="str">
        <f>"000452"</f>
        <v>000452</v>
      </c>
      <c r="M15" s="6">
        <v>43042</v>
      </c>
      <c r="N15" s="7">
        <v>17</v>
      </c>
      <c r="O15" s="7" t="str">
        <f>"002187"</f>
        <v>002187</v>
      </c>
      <c r="P15" s="6">
        <v>43613</v>
      </c>
      <c r="Q15" s="9">
        <v>18.405899999999999</v>
      </c>
      <c r="R15" s="9">
        <v>2.1534900000000001</v>
      </c>
      <c r="S15" s="9">
        <v>16.252410000000001</v>
      </c>
      <c r="T15" s="7">
        <v>65</v>
      </c>
      <c r="U15" s="6">
        <v>43615</v>
      </c>
      <c r="V15" s="7">
        <v>9731169150</v>
      </c>
      <c r="W15" s="8" t="s">
        <v>64</v>
      </c>
      <c r="X15" s="7" t="s">
        <v>41</v>
      </c>
      <c r="Y15" s="8" t="s">
        <v>42</v>
      </c>
      <c r="Z15" s="7" t="s">
        <v>45</v>
      </c>
      <c r="AA15" s="8" t="s">
        <v>46</v>
      </c>
      <c r="AB15" s="9">
        <f t="shared" si="0"/>
        <v>0.184059</v>
      </c>
    </row>
    <row r="16" spans="1:28" x14ac:dyDescent="0.35">
      <c r="A16" s="4">
        <v>3391</v>
      </c>
      <c r="B16" s="5" t="s">
        <v>32</v>
      </c>
      <c r="C16" s="6">
        <v>43615</v>
      </c>
      <c r="D16" s="7">
        <v>100</v>
      </c>
      <c r="E16" s="8" t="s">
        <v>47</v>
      </c>
      <c r="F16" s="7" t="s">
        <v>82</v>
      </c>
      <c r="G16" s="8" t="s">
        <v>83</v>
      </c>
      <c r="H16" s="7" t="str">
        <f>"000048"</f>
        <v>000048</v>
      </c>
      <c r="I16" s="6">
        <v>42949</v>
      </c>
      <c r="J16" s="7" t="str">
        <f>"000042"</f>
        <v>000042</v>
      </c>
      <c r="K16" s="6">
        <v>43294</v>
      </c>
      <c r="L16" s="7" t="str">
        <f>"000072"</f>
        <v>000072</v>
      </c>
      <c r="M16" s="6">
        <v>43333</v>
      </c>
      <c r="N16" s="7">
        <v>17</v>
      </c>
      <c r="O16" s="7" t="str">
        <f>"002269"</f>
        <v>002269</v>
      </c>
      <c r="P16" s="6">
        <v>43614</v>
      </c>
      <c r="Q16" s="9">
        <v>19.7607</v>
      </c>
      <c r="R16" s="9">
        <v>2.3566699999999998</v>
      </c>
      <c r="S16" s="9">
        <v>17.404029999999999</v>
      </c>
      <c r="T16" s="7">
        <v>66</v>
      </c>
      <c r="U16" s="6">
        <v>43615</v>
      </c>
      <c r="V16" s="7">
        <v>9449863068</v>
      </c>
      <c r="W16" s="8" t="s">
        <v>43</v>
      </c>
      <c r="X16" s="7" t="s">
        <v>41</v>
      </c>
      <c r="Y16" s="8" t="s">
        <v>42</v>
      </c>
      <c r="Z16" s="7" t="s">
        <v>45</v>
      </c>
      <c r="AA16" s="8" t="s">
        <v>46</v>
      </c>
      <c r="AB16" s="9">
        <f t="shared" si="0"/>
        <v>0.197607</v>
      </c>
    </row>
    <row r="17" spans="1:28" x14ac:dyDescent="0.35">
      <c r="A17" s="4">
        <v>3392</v>
      </c>
      <c r="B17" s="5" t="s">
        <v>32</v>
      </c>
      <c r="C17" s="6">
        <v>43615</v>
      </c>
      <c r="D17" s="7">
        <v>100</v>
      </c>
      <c r="E17" s="8" t="s">
        <v>47</v>
      </c>
      <c r="F17" s="7" t="s">
        <v>84</v>
      </c>
      <c r="G17" s="8" t="s">
        <v>85</v>
      </c>
      <c r="H17" s="7" t="str">
        <f>"000047"</f>
        <v>000047</v>
      </c>
      <c r="I17" s="6">
        <v>42949</v>
      </c>
      <c r="J17" s="7" t="str">
        <f>"000041"</f>
        <v>000041</v>
      </c>
      <c r="K17" s="6">
        <v>43294</v>
      </c>
      <c r="L17" s="7" t="str">
        <f>"000071"</f>
        <v>000071</v>
      </c>
      <c r="M17" s="6">
        <v>43333</v>
      </c>
      <c r="N17" s="7">
        <v>17</v>
      </c>
      <c r="O17" s="7" t="str">
        <f>"002270"</f>
        <v>002270</v>
      </c>
      <c r="P17" s="6">
        <v>43614</v>
      </c>
      <c r="Q17" s="9">
        <v>19.778400000000001</v>
      </c>
      <c r="R17" s="9">
        <v>2.3585199999999999</v>
      </c>
      <c r="S17" s="9">
        <v>17.419879999999999</v>
      </c>
      <c r="T17" s="7">
        <v>66</v>
      </c>
      <c r="U17" s="6">
        <v>43615</v>
      </c>
      <c r="V17" s="7">
        <v>9449863068</v>
      </c>
      <c r="W17" s="8" t="s">
        <v>43</v>
      </c>
      <c r="X17" s="7" t="s">
        <v>41</v>
      </c>
      <c r="Y17" s="8" t="s">
        <v>42</v>
      </c>
      <c r="Z17" s="7" t="s">
        <v>45</v>
      </c>
      <c r="AA17" s="8" t="s">
        <v>46</v>
      </c>
      <c r="AB17" s="9">
        <f t="shared" si="0"/>
        <v>0.19778400000000002</v>
      </c>
    </row>
    <row r="18" spans="1:28" x14ac:dyDescent="0.35">
      <c r="A18" s="4">
        <v>3393</v>
      </c>
      <c r="B18" s="5" t="s">
        <v>32</v>
      </c>
      <c r="C18" s="6">
        <v>43615</v>
      </c>
      <c r="D18" s="7">
        <v>100</v>
      </c>
      <c r="E18" s="8" t="s">
        <v>47</v>
      </c>
      <c r="F18" s="7" t="s">
        <v>86</v>
      </c>
      <c r="G18" s="8" t="s">
        <v>87</v>
      </c>
      <c r="H18" s="7" t="str">
        <f>"000049"</f>
        <v>000049</v>
      </c>
      <c r="I18" s="6">
        <v>42949</v>
      </c>
      <c r="J18" s="7" t="str">
        <f>"000043"</f>
        <v>000043</v>
      </c>
      <c r="K18" s="6">
        <v>43294</v>
      </c>
      <c r="L18" s="7" t="str">
        <f>"000066"</f>
        <v>000066</v>
      </c>
      <c r="M18" s="6">
        <v>43332</v>
      </c>
      <c r="N18" s="7">
        <v>17</v>
      </c>
      <c r="O18" s="7" t="str">
        <f>"002271"</f>
        <v>002271</v>
      </c>
      <c r="P18" s="6">
        <v>43614</v>
      </c>
      <c r="Q18" s="9">
        <v>18.791650000000001</v>
      </c>
      <c r="R18" s="9">
        <v>3.6155599999999999</v>
      </c>
      <c r="S18" s="9">
        <v>15.17609</v>
      </c>
      <c r="T18" s="7">
        <v>66</v>
      </c>
      <c r="U18" s="6">
        <v>43615</v>
      </c>
      <c r="V18" s="7">
        <v>9449863068</v>
      </c>
      <c r="W18" s="8" t="s">
        <v>43</v>
      </c>
      <c r="X18" s="7" t="s">
        <v>41</v>
      </c>
      <c r="Y18" s="8" t="s">
        <v>42</v>
      </c>
      <c r="Z18" s="7" t="s">
        <v>45</v>
      </c>
      <c r="AA18" s="8" t="s">
        <v>46</v>
      </c>
      <c r="AB18" s="9">
        <f t="shared" si="0"/>
        <v>0.18791650000000001</v>
      </c>
    </row>
    <row r="19" spans="1:28" x14ac:dyDescent="0.35">
      <c r="A19" s="4">
        <v>3394</v>
      </c>
      <c r="B19" s="5" t="s">
        <v>29</v>
      </c>
      <c r="C19" s="6">
        <v>43644</v>
      </c>
      <c r="D19" s="7">
        <v>100</v>
      </c>
      <c r="E19" s="8" t="s">
        <v>47</v>
      </c>
      <c r="F19" s="7" t="s">
        <v>88</v>
      </c>
      <c r="G19" s="8" t="s">
        <v>89</v>
      </c>
      <c r="H19" s="7" t="str">
        <f>"000021"</f>
        <v>000021</v>
      </c>
      <c r="I19" s="6">
        <v>43580</v>
      </c>
      <c r="J19" s="7" t="str">
        <f>"000017"</f>
        <v>000017</v>
      </c>
      <c r="K19" s="6">
        <v>43606</v>
      </c>
      <c r="L19" s="7" t="str">
        <f>"000025"</f>
        <v>000025</v>
      </c>
      <c r="M19" s="6">
        <v>43612</v>
      </c>
      <c r="N19" s="7">
        <v>19</v>
      </c>
      <c r="O19" s="7" t="str">
        <f>"002874"</f>
        <v>002874</v>
      </c>
      <c r="P19" s="6">
        <v>43636</v>
      </c>
      <c r="Q19" s="9">
        <v>69.882419999999996</v>
      </c>
      <c r="R19" s="9">
        <v>8.3858800000000002</v>
      </c>
      <c r="S19" s="9">
        <v>61.496540000000003</v>
      </c>
      <c r="T19" s="7">
        <v>95</v>
      </c>
      <c r="U19" s="6">
        <v>43644</v>
      </c>
      <c r="V19" s="7">
        <v>9945867208</v>
      </c>
      <c r="W19" s="8" t="s">
        <v>44</v>
      </c>
      <c r="X19" s="7" t="s">
        <v>39</v>
      </c>
      <c r="Y19" s="8" t="s">
        <v>40</v>
      </c>
      <c r="Z19" s="7" t="s">
        <v>45</v>
      </c>
      <c r="AA19" s="8" t="s">
        <v>46</v>
      </c>
      <c r="AB19" s="9">
        <v>0.69882420000000001</v>
      </c>
    </row>
    <row r="20" spans="1:28" x14ac:dyDescent="0.35">
      <c r="A20" s="4">
        <v>3395</v>
      </c>
      <c r="B20" s="5" t="s">
        <v>29</v>
      </c>
      <c r="C20" s="6">
        <v>43644</v>
      </c>
      <c r="D20" s="7">
        <v>100</v>
      </c>
      <c r="E20" s="8" t="s">
        <v>47</v>
      </c>
      <c r="F20" s="7" t="s">
        <v>90</v>
      </c>
      <c r="G20" s="8" t="s">
        <v>91</v>
      </c>
      <c r="H20" s="7" t="str">
        <f>"000020"</f>
        <v>000020</v>
      </c>
      <c r="I20" s="6">
        <v>43580</v>
      </c>
      <c r="J20" s="7" t="str">
        <f>"000018"</f>
        <v>000018</v>
      </c>
      <c r="K20" s="6">
        <v>43606</v>
      </c>
      <c r="L20" s="7" t="str">
        <f>"000024"</f>
        <v>000024</v>
      </c>
      <c r="M20" s="6">
        <v>43612</v>
      </c>
      <c r="N20" s="7">
        <v>19</v>
      </c>
      <c r="O20" s="7" t="str">
        <f>"002875"</f>
        <v>002875</v>
      </c>
      <c r="P20" s="6">
        <v>43636</v>
      </c>
      <c r="Q20" s="9">
        <v>69.799800000000005</v>
      </c>
      <c r="R20" s="9">
        <v>8.3757800000000007</v>
      </c>
      <c r="S20" s="9">
        <v>61.424019999999999</v>
      </c>
      <c r="T20" s="7">
        <v>95</v>
      </c>
      <c r="U20" s="6">
        <v>43644</v>
      </c>
      <c r="V20" s="7">
        <v>9448615694</v>
      </c>
      <c r="W20" s="8" t="s">
        <v>44</v>
      </c>
      <c r="X20" s="7" t="s">
        <v>39</v>
      </c>
      <c r="Y20" s="8" t="s">
        <v>40</v>
      </c>
      <c r="Z20" s="7" t="s">
        <v>45</v>
      </c>
      <c r="AA20" s="8" t="s">
        <v>46</v>
      </c>
      <c r="AB20" s="9">
        <v>0.69799800000000001</v>
      </c>
    </row>
    <row r="21" spans="1:28" x14ac:dyDescent="0.35">
      <c r="A21" s="4">
        <v>3396</v>
      </c>
      <c r="B21" s="5" t="s">
        <v>92</v>
      </c>
      <c r="C21" s="6">
        <v>43669</v>
      </c>
      <c r="D21" s="7">
        <v>100</v>
      </c>
      <c r="E21" s="8" t="s">
        <v>47</v>
      </c>
      <c r="F21" s="7" t="s">
        <v>93</v>
      </c>
      <c r="G21" s="10" t="s">
        <v>94</v>
      </c>
      <c r="H21" s="7" t="str">
        <f>"000092"</f>
        <v>000092</v>
      </c>
      <c r="I21" s="6">
        <v>42964</v>
      </c>
      <c r="J21" s="7" t="str">
        <f>"000246"</f>
        <v>000246</v>
      </c>
      <c r="K21" s="6">
        <v>43088</v>
      </c>
      <c r="L21" s="7" t="str">
        <f>"000503"</f>
        <v>000503</v>
      </c>
      <c r="M21" s="6">
        <v>43134</v>
      </c>
      <c r="N21" s="7">
        <v>17</v>
      </c>
      <c r="O21" s="7" t="str">
        <f>"003465"</f>
        <v>003465</v>
      </c>
      <c r="P21" s="6">
        <v>43662</v>
      </c>
      <c r="Q21" s="11">
        <v>19.896149999999999</v>
      </c>
      <c r="R21" s="11">
        <v>2.4736099999999999</v>
      </c>
      <c r="S21" s="11">
        <v>17.422540000000001</v>
      </c>
      <c r="T21" s="7">
        <v>122</v>
      </c>
      <c r="U21" s="6">
        <v>43669</v>
      </c>
      <c r="V21" s="7">
        <v>9449863068</v>
      </c>
      <c r="W21" s="10" t="s">
        <v>43</v>
      </c>
      <c r="X21" s="7" t="s">
        <v>95</v>
      </c>
      <c r="Y21" s="10" t="s">
        <v>96</v>
      </c>
      <c r="Z21" s="7" t="s">
        <v>45</v>
      </c>
      <c r="AA21" s="10" t="s">
        <v>46</v>
      </c>
      <c r="AB21" s="11">
        <f t="shared" ref="AB21:AB38" si="1">Q21/100</f>
        <v>0.19896149999999999</v>
      </c>
    </row>
    <row r="22" spans="1:28" x14ac:dyDescent="0.35">
      <c r="A22" s="4">
        <v>3397</v>
      </c>
      <c r="B22" s="5" t="s">
        <v>92</v>
      </c>
      <c r="C22" s="6">
        <v>43669</v>
      </c>
      <c r="D22" s="7">
        <v>100</v>
      </c>
      <c r="E22" s="8" t="s">
        <v>47</v>
      </c>
      <c r="F22" s="7" t="s">
        <v>97</v>
      </c>
      <c r="G22" s="10" t="s">
        <v>98</v>
      </c>
      <c r="H22" s="7" t="str">
        <f>"000091"</f>
        <v>000091</v>
      </c>
      <c r="I22" s="6">
        <v>42964</v>
      </c>
      <c r="J22" s="7" t="str">
        <f>"000242"</f>
        <v>000242</v>
      </c>
      <c r="K22" s="6">
        <v>43088</v>
      </c>
      <c r="L22" s="7" t="str">
        <f>"000504"</f>
        <v>000504</v>
      </c>
      <c r="M22" s="6">
        <v>43134</v>
      </c>
      <c r="N22" s="7">
        <v>17</v>
      </c>
      <c r="O22" s="7" t="str">
        <f>"003466"</f>
        <v>003466</v>
      </c>
      <c r="P22" s="6">
        <v>43662</v>
      </c>
      <c r="Q22" s="11">
        <v>19.982150000000001</v>
      </c>
      <c r="R22" s="11">
        <v>2.48428</v>
      </c>
      <c r="S22" s="11">
        <v>17.497869999999999</v>
      </c>
      <c r="T22" s="7">
        <v>122</v>
      </c>
      <c r="U22" s="6">
        <v>43669</v>
      </c>
      <c r="V22" s="7">
        <v>9449863068</v>
      </c>
      <c r="W22" s="10" t="s">
        <v>43</v>
      </c>
      <c r="X22" s="7" t="s">
        <v>95</v>
      </c>
      <c r="Y22" s="10" t="s">
        <v>96</v>
      </c>
      <c r="Z22" s="7" t="s">
        <v>45</v>
      </c>
      <c r="AA22" s="10" t="s">
        <v>46</v>
      </c>
      <c r="AB22" s="11">
        <f t="shared" si="1"/>
        <v>0.19982150000000001</v>
      </c>
    </row>
    <row r="23" spans="1:28" x14ac:dyDescent="0.35">
      <c r="A23" s="4">
        <v>3398</v>
      </c>
      <c r="B23" s="5" t="s">
        <v>92</v>
      </c>
      <c r="C23" s="6">
        <v>43669</v>
      </c>
      <c r="D23" s="7">
        <v>100</v>
      </c>
      <c r="E23" s="8" t="s">
        <v>47</v>
      </c>
      <c r="F23" s="7" t="s">
        <v>99</v>
      </c>
      <c r="G23" s="10" t="s">
        <v>100</v>
      </c>
      <c r="H23" s="7" t="str">
        <f>"000093"</f>
        <v>000093</v>
      </c>
      <c r="I23" s="6">
        <v>42964</v>
      </c>
      <c r="J23" s="7" t="str">
        <f>"000239"</f>
        <v>000239</v>
      </c>
      <c r="K23" s="6">
        <v>43088</v>
      </c>
      <c r="L23" s="7" t="str">
        <f>"000505"</f>
        <v>000505</v>
      </c>
      <c r="M23" s="6">
        <v>43134</v>
      </c>
      <c r="N23" s="7">
        <v>17</v>
      </c>
      <c r="O23" s="7" t="str">
        <f>"003467"</f>
        <v>003467</v>
      </c>
      <c r="P23" s="6">
        <v>43662</v>
      </c>
      <c r="Q23" s="11">
        <v>19.943750000000001</v>
      </c>
      <c r="R23" s="11">
        <v>2.47953</v>
      </c>
      <c r="S23" s="11">
        <v>17.464220000000001</v>
      </c>
      <c r="T23" s="7">
        <v>122</v>
      </c>
      <c r="U23" s="6">
        <v>43669</v>
      </c>
      <c r="V23" s="7">
        <v>9449863068</v>
      </c>
      <c r="W23" s="10" t="s">
        <v>43</v>
      </c>
      <c r="X23" s="7" t="s">
        <v>95</v>
      </c>
      <c r="Y23" s="10" t="s">
        <v>96</v>
      </c>
      <c r="Z23" s="7" t="s">
        <v>45</v>
      </c>
      <c r="AA23" s="10" t="s">
        <v>46</v>
      </c>
      <c r="AB23" s="11">
        <f t="shared" si="1"/>
        <v>0.19943750000000002</v>
      </c>
    </row>
    <row r="24" spans="1:28" x14ac:dyDescent="0.35">
      <c r="A24" s="4">
        <v>3399</v>
      </c>
      <c r="B24" s="5" t="s">
        <v>92</v>
      </c>
      <c r="C24" s="6">
        <v>43669</v>
      </c>
      <c r="D24" s="7">
        <v>100</v>
      </c>
      <c r="E24" s="8" t="s">
        <v>47</v>
      </c>
      <c r="F24" s="7" t="s">
        <v>101</v>
      </c>
      <c r="G24" s="10" t="s">
        <v>102</v>
      </c>
      <c r="H24" s="7" t="str">
        <f>"000094"</f>
        <v>000094</v>
      </c>
      <c r="I24" s="6">
        <v>42964</v>
      </c>
      <c r="J24" s="7" t="str">
        <f>"000247"</f>
        <v>000247</v>
      </c>
      <c r="K24" s="6">
        <v>43088</v>
      </c>
      <c r="L24" s="7" t="str">
        <f>"000506"</f>
        <v>000506</v>
      </c>
      <c r="M24" s="6">
        <v>43134</v>
      </c>
      <c r="N24" s="7">
        <v>17</v>
      </c>
      <c r="O24" s="7" t="str">
        <f>"003468"</f>
        <v>003468</v>
      </c>
      <c r="P24" s="6">
        <v>43662</v>
      </c>
      <c r="Q24" s="11">
        <v>19.827400000000001</v>
      </c>
      <c r="R24" s="11">
        <v>2.46509</v>
      </c>
      <c r="S24" s="11">
        <v>17.362310000000001</v>
      </c>
      <c r="T24" s="7">
        <v>122</v>
      </c>
      <c r="U24" s="6">
        <v>43669</v>
      </c>
      <c r="V24" s="7">
        <v>9449863068</v>
      </c>
      <c r="W24" s="10" t="s">
        <v>43</v>
      </c>
      <c r="X24" s="7" t="s">
        <v>95</v>
      </c>
      <c r="Y24" s="10" t="s">
        <v>96</v>
      </c>
      <c r="Z24" s="7" t="s">
        <v>45</v>
      </c>
      <c r="AA24" s="10" t="s">
        <v>46</v>
      </c>
      <c r="AB24" s="11">
        <f t="shared" si="1"/>
        <v>0.19827400000000001</v>
      </c>
    </row>
    <row r="25" spans="1:28" x14ac:dyDescent="0.35">
      <c r="A25" s="4">
        <v>3400</v>
      </c>
      <c r="B25" s="5" t="s">
        <v>92</v>
      </c>
      <c r="C25" s="6">
        <v>43669</v>
      </c>
      <c r="D25" s="7">
        <v>100</v>
      </c>
      <c r="E25" s="8" t="s">
        <v>47</v>
      </c>
      <c r="F25" s="7" t="s">
        <v>103</v>
      </c>
      <c r="G25" s="10" t="s">
        <v>104</v>
      </c>
      <c r="H25" s="7" t="str">
        <f>"000083"</f>
        <v>000083</v>
      </c>
      <c r="I25" s="6">
        <v>42961</v>
      </c>
      <c r="J25" s="7" t="str">
        <f>"000240"</f>
        <v>000240</v>
      </c>
      <c r="K25" s="6">
        <v>43088</v>
      </c>
      <c r="L25" s="7" t="str">
        <f>"000507"</f>
        <v>000507</v>
      </c>
      <c r="M25" s="6">
        <v>43134</v>
      </c>
      <c r="N25" s="7">
        <v>17</v>
      </c>
      <c r="O25" s="7" t="str">
        <f>"003469"</f>
        <v>003469</v>
      </c>
      <c r="P25" s="6">
        <v>43662</v>
      </c>
      <c r="Q25" s="11">
        <v>19.795809999999999</v>
      </c>
      <c r="R25" s="11">
        <v>2.4611800000000001</v>
      </c>
      <c r="S25" s="11">
        <v>17.334630000000001</v>
      </c>
      <c r="T25" s="7">
        <v>122</v>
      </c>
      <c r="U25" s="6">
        <v>43669</v>
      </c>
      <c r="V25" s="7">
        <v>9731169150</v>
      </c>
      <c r="W25" s="10" t="s">
        <v>43</v>
      </c>
      <c r="X25" s="7" t="s">
        <v>95</v>
      </c>
      <c r="Y25" s="10" t="s">
        <v>96</v>
      </c>
      <c r="Z25" s="7" t="s">
        <v>45</v>
      </c>
      <c r="AA25" s="10" t="s">
        <v>46</v>
      </c>
      <c r="AB25" s="11">
        <f t="shared" si="1"/>
        <v>0.1979581</v>
      </c>
    </row>
    <row r="26" spans="1:28" x14ac:dyDescent="0.35">
      <c r="A26" s="4">
        <v>3401</v>
      </c>
      <c r="B26" s="5" t="s">
        <v>92</v>
      </c>
      <c r="C26" s="6">
        <v>43669</v>
      </c>
      <c r="D26" s="7">
        <v>100</v>
      </c>
      <c r="E26" s="8" t="s">
        <v>47</v>
      </c>
      <c r="F26" s="7" t="s">
        <v>105</v>
      </c>
      <c r="G26" s="10" t="s">
        <v>106</v>
      </c>
      <c r="H26" s="7" t="str">
        <f>"000085"</f>
        <v>000085</v>
      </c>
      <c r="I26" s="6">
        <v>42961</v>
      </c>
      <c r="J26" s="7" t="str">
        <f>"000245"</f>
        <v>000245</v>
      </c>
      <c r="K26" s="6">
        <v>43088</v>
      </c>
      <c r="L26" s="7" t="str">
        <f>"000508"</f>
        <v>000508</v>
      </c>
      <c r="M26" s="6">
        <v>43134</v>
      </c>
      <c r="N26" s="7">
        <v>17</v>
      </c>
      <c r="O26" s="7" t="str">
        <f>"003470"</f>
        <v>003470</v>
      </c>
      <c r="P26" s="6">
        <v>43662</v>
      </c>
      <c r="Q26" s="11">
        <v>19.858419999999999</v>
      </c>
      <c r="R26" s="11">
        <v>2.4689299999999998</v>
      </c>
      <c r="S26" s="11">
        <v>17.389489999999999</v>
      </c>
      <c r="T26" s="7">
        <v>122</v>
      </c>
      <c r="U26" s="6">
        <v>43669</v>
      </c>
      <c r="V26" s="7">
        <v>9731169150</v>
      </c>
      <c r="W26" s="10" t="s">
        <v>43</v>
      </c>
      <c r="X26" s="7" t="s">
        <v>95</v>
      </c>
      <c r="Y26" s="10" t="s">
        <v>96</v>
      </c>
      <c r="Z26" s="7" t="s">
        <v>45</v>
      </c>
      <c r="AA26" s="10" t="s">
        <v>46</v>
      </c>
      <c r="AB26" s="11">
        <f t="shared" si="1"/>
        <v>0.19858419999999999</v>
      </c>
    </row>
    <row r="27" spans="1:28" x14ac:dyDescent="0.35">
      <c r="A27" s="4">
        <v>3402</v>
      </c>
      <c r="B27" s="5" t="s">
        <v>92</v>
      </c>
      <c r="C27" s="6">
        <v>43669</v>
      </c>
      <c r="D27" s="7">
        <v>100</v>
      </c>
      <c r="E27" s="8" t="s">
        <v>47</v>
      </c>
      <c r="F27" s="7" t="s">
        <v>107</v>
      </c>
      <c r="G27" s="10" t="s">
        <v>108</v>
      </c>
      <c r="H27" s="7" t="str">
        <f>"000042"</f>
        <v>000042</v>
      </c>
      <c r="I27" s="6">
        <v>42948</v>
      </c>
      <c r="J27" s="7" t="str">
        <f>"000251"</f>
        <v>000251</v>
      </c>
      <c r="K27" s="6">
        <v>43090</v>
      </c>
      <c r="L27" s="7" t="str">
        <f>"000509"</f>
        <v>000509</v>
      </c>
      <c r="M27" s="6">
        <v>43134</v>
      </c>
      <c r="N27" s="7">
        <v>17</v>
      </c>
      <c r="O27" s="7" t="str">
        <f>"003485"</f>
        <v>003485</v>
      </c>
      <c r="P27" s="6">
        <v>43663</v>
      </c>
      <c r="Q27" s="11">
        <v>8.65367</v>
      </c>
      <c r="R27" s="11">
        <v>0.97531000000000001</v>
      </c>
      <c r="S27" s="11">
        <v>7.6783599999999996</v>
      </c>
      <c r="T27" s="7">
        <v>122</v>
      </c>
      <c r="U27" s="6">
        <v>43669</v>
      </c>
      <c r="V27" s="7">
        <v>9480087461</v>
      </c>
      <c r="W27" s="10" t="s">
        <v>109</v>
      </c>
      <c r="X27" s="7" t="s">
        <v>30</v>
      </c>
      <c r="Y27" s="10" t="s">
        <v>31</v>
      </c>
      <c r="Z27" s="7" t="s">
        <v>45</v>
      </c>
      <c r="AA27" s="10" t="s">
        <v>46</v>
      </c>
      <c r="AB27" s="11">
        <f t="shared" si="1"/>
        <v>8.6536699999999994E-2</v>
      </c>
    </row>
    <row r="28" spans="1:28" x14ac:dyDescent="0.35">
      <c r="A28" s="4">
        <v>3403</v>
      </c>
      <c r="B28" s="5" t="s">
        <v>92</v>
      </c>
      <c r="C28" s="6">
        <v>43669</v>
      </c>
      <c r="D28" s="7">
        <v>100</v>
      </c>
      <c r="E28" s="8" t="s">
        <v>47</v>
      </c>
      <c r="F28" s="7" t="s">
        <v>110</v>
      </c>
      <c r="G28" s="10" t="s">
        <v>111</v>
      </c>
      <c r="H28" s="7" t="str">
        <f>"000050"</f>
        <v>000050</v>
      </c>
      <c r="I28" s="6">
        <v>42949</v>
      </c>
      <c r="J28" s="7" t="str">
        <f>"000250"</f>
        <v>000250</v>
      </c>
      <c r="K28" s="6">
        <v>43090</v>
      </c>
      <c r="L28" s="7" t="str">
        <f>"000510"</f>
        <v>000510</v>
      </c>
      <c r="M28" s="6">
        <v>43134</v>
      </c>
      <c r="N28" s="7">
        <v>17</v>
      </c>
      <c r="O28" s="7" t="str">
        <f>"003486"</f>
        <v>003486</v>
      </c>
      <c r="P28" s="6">
        <v>43663</v>
      </c>
      <c r="Q28" s="11">
        <v>12.96307</v>
      </c>
      <c r="R28" s="11">
        <v>1.52277</v>
      </c>
      <c r="S28" s="11">
        <v>11.440300000000001</v>
      </c>
      <c r="T28" s="7">
        <v>122</v>
      </c>
      <c r="U28" s="6">
        <v>43669</v>
      </c>
      <c r="V28" s="7">
        <v>9480087461</v>
      </c>
      <c r="W28" s="10" t="s">
        <v>64</v>
      </c>
      <c r="X28" s="7" t="s">
        <v>30</v>
      </c>
      <c r="Y28" s="10" t="s">
        <v>31</v>
      </c>
      <c r="Z28" s="7" t="s">
        <v>45</v>
      </c>
      <c r="AA28" s="10" t="s">
        <v>46</v>
      </c>
      <c r="AB28" s="11">
        <f t="shared" si="1"/>
        <v>0.12963069999999999</v>
      </c>
    </row>
    <row r="29" spans="1:28" x14ac:dyDescent="0.35">
      <c r="A29" s="4">
        <v>3404</v>
      </c>
      <c r="B29" s="5" t="s">
        <v>92</v>
      </c>
      <c r="C29" s="6">
        <v>43669</v>
      </c>
      <c r="D29" s="7">
        <v>100</v>
      </c>
      <c r="E29" s="8" t="s">
        <v>47</v>
      </c>
      <c r="F29" s="7" t="s">
        <v>112</v>
      </c>
      <c r="G29" s="10" t="s">
        <v>113</v>
      </c>
      <c r="H29" s="7" t="str">
        <f>"000044"</f>
        <v>000044</v>
      </c>
      <c r="I29" s="6">
        <v>42949</v>
      </c>
      <c r="J29" s="7" t="str">
        <f>"000253"</f>
        <v>000253</v>
      </c>
      <c r="K29" s="6">
        <v>43091</v>
      </c>
      <c r="L29" s="7" t="str">
        <f>"000511"</f>
        <v>000511</v>
      </c>
      <c r="M29" s="6">
        <v>43138</v>
      </c>
      <c r="N29" s="7">
        <v>17</v>
      </c>
      <c r="O29" s="7" t="str">
        <f>"003601"</f>
        <v>003601</v>
      </c>
      <c r="P29" s="6">
        <v>43664</v>
      </c>
      <c r="Q29" s="11">
        <v>8.4626599999999996</v>
      </c>
      <c r="R29" s="11">
        <v>0.94193000000000005</v>
      </c>
      <c r="S29" s="11">
        <v>7.5207300000000004</v>
      </c>
      <c r="T29" s="7">
        <v>122</v>
      </c>
      <c r="U29" s="6">
        <v>43669</v>
      </c>
      <c r="V29" s="7">
        <v>9480087461</v>
      </c>
      <c r="W29" s="10" t="s">
        <v>64</v>
      </c>
      <c r="X29" s="7" t="s">
        <v>30</v>
      </c>
      <c r="Y29" s="10" t="s">
        <v>31</v>
      </c>
      <c r="Z29" s="7" t="s">
        <v>45</v>
      </c>
      <c r="AA29" s="10" t="s">
        <v>46</v>
      </c>
      <c r="AB29" s="11">
        <f t="shared" si="1"/>
        <v>8.4626599999999996E-2</v>
      </c>
    </row>
    <row r="30" spans="1:28" x14ac:dyDescent="0.35">
      <c r="A30" s="4">
        <v>3405</v>
      </c>
      <c r="B30" s="5" t="s">
        <v>92</v>
      </c>
      <c r="C30" s="6">
        <v>43669</v>
      </c>
      <c r="D30" s="7">
        <v>100</v>
      </c>
      <c r="E30" s="8" t="s">
        <v>47</v>
      </c>
      <c r="F30" s="7" t="s">
        <v>114</v>
      </c>
      <c r="G30" s="10" t="s">
        <v>115</v>
      </c>
      <c r="H30" s="7" t="str">
        <f>"000171"</f>
        <v>000171</v>
      </c>
      <c r="I30" s="6">
        <v>43069</v>
      </c>
      <c r="J30" s="7" t="str">
        <f>"000252"</f>
        <v>000252</v>
      </c>
      <c r="K30" s="6">
        <v>43091</v>
      </c>
      <c r="L30" s="7" t="str">
        <f>"000512"</f>
        <v>000512</v>
      </c>
      <c r="M30" s="6">
        <v>43138</v>
      </c>
      <c r="N30" s="7">
        <v>17</v>
      </c>
      <c r="O30" s="7" t="str">
        <f>"003602"</f>
        <v>003602</v>
      </c>
      <c r="P30" s="6">
        <v>43664</v>
      </c>
      <c r="Q30" s="11">
        <v>8.6731999999999996</v>
      </c>
      <c r="R30" s="11">
        <v>0.99087999999999998</v>
      </c>
      <c r="S30" s="11">
        <v>7.6823199999999998</v>
      </c>
      <c r="T30" s="7">
        <v>122</v>
      </c>
      <c r="U30" s="6">
        <v>43669</v>
      </c>
      <c r="V30" s="7">
        <v>9731169150</v>
      </c>
      <c r="W30" s="10" t="s">
        <v>69</v>
      </c>
      <c r="X30" s="7" t="s">
        <v>30</v>
      </c>
      <c r="Y30" s="10" t="s">
        <v>31</v>
      </c>
      <c r="Z30" s="7" t="s">
        <v>45</v>
      </c>
      <c r="AA30" s="10" t="s">
        <v>46</v>
      </c>
      <c r="AB30" s="11">
        <f t="shared" si="1"/>
        <v>8.673199999999999E-2</v>
      </c>
    </row>
    <row r="31" spans="1:28" x14ac:dyDescent="0.35">
      <c r="A31" s="4">
        <v>3406</v>
      </c>
      <c r="B31" s="5" t="s">
        <v>92</v>
      </c>
      <c r="C31" s="6">
        <v>43669</v>
      </c>
      <c r="D31" s="7">
        <v>100</v>
      </c>
      <c r="E31" s="8" t="s">
        <v>47</v>
      </c>
      <c r="F31" s="7" t="s">
        <v>116</v>
      </c>
      <c r="G31" s="10" t="s">
        <v>117</v>
      </c>
      <c r="H31" s="7" t="str">
        <f>"000053"</f>
        <v>000053</v>
      </c>
      <c r="I31" s="6">
        <v>42949</v>
      </c>
      <c r="J31" s="7" t="str">
        <f>"000249"</f>
        <v>000249</v>
      </c>
      <c r="K31" s="6">
        <v>43089</v>
      </c>
      <c r="L31" s="7" t="str">
        <f>"000513"</f>
        <v>000513</v>
      </c>
      <c r="M31" s="6">
        <v>43138</v>
      </c>
      <c r="N31" s="7">
        <v>17</v>
      </c>
      <c r="O31" s="7" t="str">
        <f>"003603"</f>
        <v>003603</v>
      </c>
      <c r="P31" s="6">
        <v>43664</v>
      </c>
      <c r="Q31" s="11">
        <v>12.902380000000001</v>
      </c>
      <c r="R31" s="11">
        <v>1.52847</v>
      </c>
      <c r="S31" s="11">
        <v>11.37391</v>
      </c>
      <c r="T31" s="7">
        <v>122</v>
      </c>
      <c r="U31" s="6">
        <v>43669</v>
      </c>
      <c r="V31" s="7">
        <v>9480087461</v>
      </c>
      <c r="W31" s="10" t="s">
        <v>61</v>
      </c>
      <c r="X31" s="7" t="s">
        <v>30</v>
      </c>
      <c r="Y31" s="10" t="s">
        <v>31</v>
      </c>
      <c r="Z31" s="7" t="s">
        <v>45</v>
      </c>
      <c r="AA31" s="10" t="s">
        <v>46</v>
      </c>
      <c r="AB31" s="11">
        <f t="shared" si="1"/>
        <v>0.12902380000000002</v>
      </c>
    </row>
    <row r="32" spans="1:28" x14ac:dyDescent="0.35">
      <c r="A32" s="4">
        <v>3407</v>
      </c>
      <c r="B32" s="5" t="s">
        <v>92</v>
      </c>
      <c r="C32" s="6">
        <v>43669</v>
      </c>
      <c r="D32" s="7">
        <v>100</v>
      </c>
      <c r="E32" s="8" t="s">
        <v>47</v>
      </c>
      <c r="F32" s="7" t="s">
        <v>118</v>
      </c>
      <c r="G32" s="10" t="s">
        <v>119</v>
      </c>
      <c r="H32" s="7" t="str">
        <f>"000035"</f>
        <v>000035</v>
      </c>
      <c r="I32" s="6">
        <v>42947</v>
      </c>
      <c r="J32" s="7" t="str">
        <f>"000248"</f>
        <v>000248</v>
      </c>
      <c r="K32" s="6">
        <v>43089</v>
      </c>
      <c r="L32" s="7" t="str">
        <f>"000514"</f>
        <v>000514</v>
      </c>
      <c r="M32" s="6">
        <v>43138</v>
      </c>
      <c r="N32" s="7">
        <v>17</v>
      </c>
      <c r="O32" s="7" t="str">
        <f>"003604"</f>
        <v>003604</v>
      </c>
      <c r="P32" s="6">
        <v>43664</v>
      </c>
      <c r="Q32" s="11">
        <v>4.2029100000000001</v>
      </c>
      <c r="R32" s="11">
        <v>0.46921000000000002</v>
      </c>
      <c r="S32" s="11">
        <v>3.7336999999999998</v>
      </c>
      <c r="T32" s="7">
        <v>122</v>
      </c>
      <c r="U32" s="6">
        <v>43669</v>
      </c>
      <c r="V32" s="7">
        <v>9480087461</v>
      </c>
      <c r="W32" s="10" t="s">
        <v>69</v>
      </c>
      <c r="X32" s="7" t="s">
        <v>30</v>
      </c>
      <c r="Y32" s="10" t="s">
        <v>31</v>
      </c>
      <c r="Z32" s="7" t="s">
        <v>45</v>
      </c>
      <c r="AA32" s="10" t="s">
        <v>46</v>
      </c>
      <c r="AB32" s="11">
        <f t="shared" si="1"/>
        <v>4.20291E-2</v>
      </c>
    </row>
    <row r="33" spans="1:28" x14ac:dyDescent="0.35">
      <c r="A33" s="4">
        <v>3408</v>
      </c>
      <c r="B33" s="5" t="s">
        <v>92</v>
      </c>
      <c r="C33" s="6">
        <v>43669</v>
      </c>
      <c r="D33" s="7">
        <v>100</v>
      </c>
      <c r="E33" s="8" t="s">
        <v>47</v>
      </c>
      <c r="F33" s="7" t="s">
        <v>120</v>
      </c>
      <c r="G33" s="10" t="s">
        <v>121</v>
      </c>
      <c r="H33" s="7" t="str">
        <f>"000084"</f>
        <v>000084</v>
      </c>
      <c r="I33" s="6">
        <v>42961</v>
      </c>
      <c r="J33" s="7" t="str">
        <f>"000243"</f>
        <v>000243</v>
      </c>
      <c r="K33" s="6">
        <v>43088</v>
      </c>
      <c r="L33" s="7" t="str">
        <f>"000515"</f>
        <v>000515</v>
      </c>
      <c r="M33" s="6">
        <v>43138</v>
      </c>
      <c r="N33" s="7">
        <v>17</v>
      </c>
      <c r="O33" s="7" t="str">
        <f>"003605"</f>
        <v>003605</v>
      </c>
      <c r="P33" s="6">
        <v>43664</v>
      </c>
      <c r="Q33" s="11">
        <v>19.908380000000001</v>
      </c>
      <c r="R33" s="11">
        <v>2.47512</v>
      </c>
      <c r="S33" s="11">
        <v>17.433260000000001</v>
      </c>
      <c r="T33" s="7">
        <v>122</v>
      </c>
      <c r="U33" s="6">
        <v>43669</v>
      </c>
      <c r="V33" s="7">
        <v>9731169150</v>
      </c>
      <c r="W33" s="10" t="s">
        <v>43</v>
      </c>
      <c r="X33" s="7" t="s">
        <v>95</v>
      </c>
      <c r="Y33" s="10" t="s">
        <v>96</v>
      </c>
      <c r="Z33" s="7" t="s">
        <v>45</v>
      </c>
      <c r="AA33" s="10" t="s">
        <v>46</v>
      </c>
      <c r="AB33" s="11">
        <f t="shared" si="1"/>
        <v>0.19908380000000001</v>
      </c>
    </row>
    <row r="34" spans="1:28" x14ac:dyDescent="0.35">
      <c r="A34" s="4">
        <v>3409</v>
      </c>
      <c r="B34" s="5" t="s">
        <v>92</v>
      </c>
      <c r="C34" s="6">
        <v>43669</v>
      </c>
      <c r="D34" s="7">
        <v>100</v>
      </c>
      <c r="E34" s="8" t="s">
        <v>47</v>
      </c>
      <c r="F34" s="7" t="s">
        <v>122</v>
      </c>
      <c r="G34" s="10" t="s">
        <v>123</v>
      </c>
      <c r="H34" s="7" t="str">
        <f>"000090"</f>
        <v>000090</v>
      </c>
      <c r="I34" s="6">
        <v>42964</v>
      </c>
      <c r="J34" s="7" t="str">
        <f>"000238"</f>
        <v>000238</v>
      </c>
      <c r="K34" s="6">
        <v>43088</v>
      </c>
      <c r="L34" s="7" t="str">
        <f>"000517"</f>
        <v>000517</v>
      </c>
      <c r="M34" s="6">
        <v>43138</v>
      </c>
      <c r="N34" s="7">
        <v>17</v>
      </c>
      <c r="O34" s="7" t="str">
        <f>"003606"</f>
        <v>003606</v>
      </c>
      <c r="P34" s="6">
        <v>43664</v>
      </c>
      <c r="Q34" s="11">
        <v>19.98498</v>
      </c>
      <c r="R34" s="11">
        <v>2.4846300000000001</v>
      </c>
      <c r="S34" s="11">
        <v>17.500350000000001</v>
      </c>
      <c r="T34" s="7">
        <v>122</v>
      </c>
      <c r="U34" s="6">
        <v>43669</v>
      </c>
      <c r="V34" s="7">
        <v>9449863068</v>
      </c>
      <c r="W34" s="10" t="s">
        <v>43</v>
      </c>
      <c r="X34" s="7" t="s">
        <v>95</v>
      </c>
      <c r="Y34" s="10" t="s">
        <v>96</v>
      </c>
      <c r="Z34" s="7" t="s">
        <v>45</v>
      </c>
      <c r="AA34" s="10" t="s">
        <v>46</v>
      </c>
      <c r="AB34" s="11">
        <f t="shared" si="1"/>
        <v>0.19984979999999999</v>
      </c>
    </row>
    <row r="35" spans="1:28" x14ac:dyDescent="0.35">
      <c r="A35" s="4">
        <v>3410</v>
      </c>
      <c r="B35" s="5" t="s">
        <v>92</v>
      </c>
      <c r="C35" s="6">
        <v>43669</v>
      </c>
      <c r="D35" s="7">
        <v>100</v>
      </c>
      <c r="E35" s="8" t="s">
        <v>47</v>
      </c>
      <c r="F35" s="7" t="s">
        <v>124</v>
      </c>
      <c r="G35" s="10" t="s">
        <v>125</v>
      </c>
      <c r="H35" s="7" t="str">
        <f>"000089"</f>
        <v>000089</v>
      </c>
      <c r="I35" s="6">
        <v>42964</v>
      </c>
      <c r="J35" s="7" t="str">
        <f>"000244"</f>
        <v>000244</v>
      </c>
      <c r="K35" s="6">
        <v>43088</v>
      </c>
      <c r="L35" s="7" t="str">
        <f>"000518"</f>
        <v>000518</v>
      </c>
      <c r="M35" s="6">
        <v>43138</v>
      </c>
      <c r="N35" s="7">
        <v>17</v>
      </c>
      <c r="O35" s="7" t="str">
        <f>"003607"</f>
        <v>003607</v>
      </c>
      <c r="P35" s="6">
        <v>43664</v>
      </c>
      <c r="Q35" s="11">
        <v>19.805109999999999</v>
      </c>
      <c r="R35" s="11">
        <v>2.4623300000000001</v>
      </c>
      <c r="S35" s="11">
        <v>17.342780000000001</v>
      </c>
      <c r="T35" s="7">
        <v>122</v>
      </c>
      <c r="U35" s="6">
        <v>43669</v>
      </c>
      <c r="V35" s="7">
        <v>9449863068</v>
      </c>
      <c r="W35" s="10" t="s">
        <v>43</v>
      </c>
      <c r="X35" s="7" t="s">
        <v>95</v>
      </c>
      <c r="Y35" s="10" t="s">
        <v>96</v>
      </c>
      <c r="Z35" s="7" t="s">
        <v>45</v>
      </c>
      <c r="AA35" s="10" t="s">
        <v>46</v>
      </c>
      <c r="AB35" s="11">
        <f t="shared" si="1"/>
        <v>0.19805109999999998</v>
      </c>
    </row>
    <row r="36" spans="1:28" x14ac:dyDescent="0.35">
      <c r="A36" s="4">
        <v>3411</v>
      </c>
      <c r="B36" s="5" t="s">
        <v>92</v>
      </c>
      <c r="C36" s="6">
        <v>43669</v>
      </c>
      <c r="D36" s="7">
        <v>100</v>
      </c>
      <c r="E36" s="8" t="s">
        <v>47</v>
      </c>
      <c r="F36" s="7" t="s">
        <v>126</v>
      </c>
      <c r="G36" s="10" t="s">
        <v>127</v>
      </c>
      <c r="H36" s="7" t="str">
        <f>"000086"</f>
        <v>000086</v>
      </c>
      <c r="I36" s="6">
        <v>42961</v>
      </c>
      <c r="J36" s="7" t="str">
        <f>"000241"</f>
        <v>000241</v>
      </c>
      <c r="K36" s="6">
        <v>43088</v>
      </c>
      <c r="L36" s="7" t="str">
        <f>"000519"</f>
        <v>000519</v>
      </c>
      <c r="M36" s="6">
        <v>43138</v>
      </c>
      <c r="N36" s="7">
        <v>17</v>
      </c>
      <c r="O36" s="7" t="str">
        <f>"003608"</f>
        <v>003608</v>
      </c>
      <c r="P36" s="6">
        <v>43664</v>
      </c>
      <c r="Q36" s="11">
        <v>19.96574</v>
      </c>
      <c r="R36" s="11">
        <v>2.48224</v>
      </c>
      <c r="S36" s="11">
        <v>17.483499999999999</v>
      </c>
      <c r="T36" s="7">
        <v>122</v>
      </c>
      <c r="U36" s="6">
        <v>43669</v>
      </c>
      <c r="V36" s="7">
        <v>9731169150</v>
      </c>
      <c r="W36" s="10" t="s">
        <v>43</v>
      </c>
      <c r="X36" s="7" t="s">
        <v>95</v>
      </c>
      <c r="Y36" s="10" t="s">
        <v>96</v>
      </c>
      <c r="Z36" s="7" t="s">
        <v>45</v>
      </c>
      <c r="AA36" s="10" t="s">
        <v>46</v>
      </c>
      <c r="AB36" s="11">
        <f t="shared" si="1"/>
        <v>0.19965740000000001</v>
      </c>
    </row>
    <row r="37" spans="1:28" x14ac:dyDescent="0.35">
      <c r="A37" s="4">
        <v>3412</v>
      </c>
      <c r="B37" s="5" t="s">
        <v>92</v>
      </c>
      <c r="C37" s="6">
        <v>43676</v>
      </c>
      <c r="D37" s="7">
        <v>100</v>
      </c>
      <c r="E37" s="8" t="s">
        <v>47</v>
      </c>
      <c r="F37" s="7" t="s">
        <v>128</v>
      </c>
      <c r="G37" s="10" t="s">
        <v>129</v>
      </c>
      <c r="H37" s="7" t="str">
        <f>"000253"</f>
        <v>000253</v>
      </c>
      <c r="I37" s="6">
        <v>43203</v>
      </c>
      <c r="J37" s="7" t="str">
        <f>"000055"</f>
        <v>000055</v>
      </c>
      <c r="K37" s="6">
        <v>43383</v>
      </c>
      <c r="L37" s="7" t="str">
        <f>"000107"</f>
        <v>000107</v>
      </c>
      <c r="M37" s="6">
        <v>43389</v>
      </c>
      <c r="N37" s="7">
        <v>17</v>
      </c>
      <c r="O37" s="7" t="str">
        <f>""</f>
        <v/>
      </c>
      <c r="P37" s="7"/>
      <c r="Q37" s="11">
        <v>2.25</v>
      </c>
      <c r="R37" s="11">
        <v>0.22500000000000001</v>
      </c>
      <c r="S37" s="11">
        <v>2.0249999999999999</v>
      </c>
      <c r="T37" s="7">
        <v>134</v>
      </c>
      <c r="U37" s="6">
        <v>43676</v>
      </c>
      <c r="V37" s="7">
        <v>8123256061</v>
      </c>
      <c r="W37" s="10" t="s">
        <v>130</v>
      </c>
      <c r="X37" s="7" t="s">
        <v>131</v>
      </c>
      <c r="Y37" s="10" t="s">
        <v>132</v>
      </c>
      <c r="Z37" s="7" t="s">
        <v>45</v>
      </c>
      <c r="AA37" s="10" t="s">
        <v>46</v>
      </c>
      <c r="AB37" s="11">
        <f t="shared" si="1"/>
        <v>2.2499999999999999E-2</v>
      </c>
    </row>
    <row r="38" spans="1:28" x14ac:dyDescent="0.35">
      <c r="A38" s="4">
        <v>3413</v>
      </c>
      <c r="B38" s="5" t="s">
        <v>133</v>
      </c>
      <c r="C38" s="6">
        <v>43698</v>
      </c>
      <c r="D38" s="7">
        <v>100</v>
      </c>
      <c r="E38" s="8" t="s">
        <v>47</v>
      </c>
      <c r="F38" s="7" t="s">
        <v>48</v>
      </c>
      <c r="G38" s="10" t="s">
        <v>49</v>
      </c>
      <c r="H38" s="7" t="str">
        <f>"000019"</f>
        <v>000019</v>
      </c>
      <c r="I38" s="6">
        <v>42940</v>
      </c>
      <c r="J38" s="7" t="str">
        <f>"000086"</f>
        <v>000086</v>
      </c>
      <c r="K38" s="6">
        <v>43782</v>
      </c>
      <c r="L38" s="7" t="str">
        <f>"000086"</f>
        <v>000086</v>
      </c>
      <c r="M38" s="6">
        <v>43782</v>
      </c>
      <c r="N38" s="7">
        <v>16</v>
      </c>
      <c r="O38" s="7" t="str">
        <f>"006325"</f>
        <v>006325</v>
      </c>
      <c r="P38" s="6">
        <v>43791</v>
      </c>
      <c r="Q38" s="11">
        <v>7.0148599999999997</v>
      </c>
      <c r="R38" s="11">
        <v>0.69347000000000003</v>
      </c>
      <c r="S38" s="11">
        <v>6.3213900000000001</v>
      </c>
      <c r="T38" s="7">
        <v>161</v>
      </c>
      <c r="U38" s="6">
        <v>43698</v>
      </c>
      <c r="V38" s="7">
        <v>9916368736</v>
      </c>
      <c r="W38" s="10" t="s">
        <v>134</v>
      </c>
      <c r="X38" s="7" t="s">
        <v>34</v>
      </c>
      <c r="Y38" s="10" t="s">
        <v>33</v>
      </c>
      <c r="Z38" s="7" t="s">
        <v>37</v>
      </c>
      <c r="AA38" s="10" t="s">
        <v>38</v>
      </c>
      <c r="AB38" s="11">
        <f t="shared" si="1"/>
        <v>7.0148599999999992E-2</v>
      </c>
    </row>
    <row r="39" spans="1:28" x14ac:dyDescent="0.35">
      <c r="A39" s="4">
        <v>3414</v>
      </c>
      <c r="B39" s="5" t="s">
        <v>135</v>
      </c>
      <c r="C39" s="6">
        <v>43795</v>
      </c>
      <c r="D39" s="4">
        <v>100</v>
      </c>
      <c r="E39" s="8" t="s">
        <v>47</v>
      </c>
      <c r="F39" s="7" t="s">
        <v>48</v>
      </c>
      <c r="G39" s="8" t="s">
        <v>49</v>
      </c>
      <c r="H39" s="7" t="str">
        <f>"000019"</f>
        <v>000019</v>
      </c>
      <c r="I39" s="6">
        <v>42940</v>
      </c>
      <c r="J39" s="7" t="str">
        <f>"000086"</f>
        <v>000086</v>
      </c>
      <c r="K39" s="6">
        <v>43782</v>
      </c>
      <c r="L39" s="7" t="str">
        <f>"000086"</f>
        <v>000086</v>
      </c>
      <c r="M39" s="6">
        <v>43782</v>
      </c>
      <c r="N39" s="7">
        <v>16</v>
      </c>
      <c r="O39" s="7" t="str">
        <f>"006325"</f>
        <v>006325</v>
      </c>
      <c r="P39" s="6">
        <v>43791</v>
      </c>
      <c r="Q39" s="9">
        <v>3.0085099999999998</v>
      </c>
      <c r="R39" s="9">
        <v>0.2974</v>
      </c>
      <c r="S39" s="9">
        <v>2.7111100000000001</v>
      </c>
      <c r="T39" s="7">
        <v>13</v>
      </c>
      <c r="U39" s="6">
        <v>43795</v>
      </c>
      <c r="V39" s="7">
        <v>9916368736</v>
      </c>
      <c r="W39" s="8" t="s">
        <v>134</v>
      </c>
      <c r="X39" s="7" t="s">
        <v>34</v>
      </c>
      <c r="Y39" s="8" t="s">
        <v>33</v>
      </c>
      <c r="Z39" s="7" t="s">
        <v>37</v>
      </c>
      <c r="AA39" s="8" t="s">
        <v>38</v>
      </c>
      <c r="AB39" s="9">
        <v>3.0085099999999997E-2</v>
      </c>
    </row>
    <row r="40" spans="1:28" x14ac:dyDescent="0.35">
      <c r="A40" s="4">
        <v>3415</v>
      </c>
      <c r="B40" s="5" t="s">
        <v>136</v>
      </c>
      <c r="C40" s="6">
        <v>43808</v>
      </c>
      <c r="D40" s="4">
        <v>100</v>
      </c>
      <c r="E40" s="8" t="s">
        <v>47</v>
      </c>
      <c r="F40" s="7" t="s">
        <v>137</v>
      </c>
      <c r="G40" s="8" t="s">
        <v>138</v>
      </c>
      <c r="H40" s="7" t="str">
        <f>"000007"</f>
        <v>000007</v>
      </c>
      <c r="I40" s="6">
        <v>43558</v>
      </c>
      <c r="J40" s="7" t="str">
        <f>"000031"</f>
        <v>000031</v>
      </c>
      <c r="K40" s="6">
        <v>43613</v>
      </c>
      <c r="L40" s="7" t="str">
        <f>"000124"</f>
        <v>000124</v>
      </c>
      <c r="M40" s="6">
        <v>43698</v>
      </c>
      <c r="N40" s="7">
        <v>18</v>
      </c>
      <c r="O40" s="7" t="str">
        <f>"006690"</f>
        <v>006690</v>
      </c>
      <c r="P40" s="6">
        <v>43805</v>
      </c>
      <c r="Q40" s="9">
        <v>109.078</v>
      </c>
      <c r="R40" s="9">
        <v>11.71576</v>
      </c>
      <c r="S40" s="9">
        <v>97.36224</v>
      </c>
      <c r="T40" s="7">
        <v>13</v>
      </c>
      <c r="U40" s="6">
        <v>43808</v>
      </c>
      <c r="V40" s="7">
        <v>9886066040</v>
      </c>
      <c r="W40" s="8" t="s">
        <v>139</v>
      </c>
      <c r="X40" s="7" t="s">
        <v>41</v>
      </c>
      <c r="Y40" s="8" t="s">
        <v>42</v>
      </c>
      <c r="Z40" s="7" t="s">
        <v>45</v>
      </c>
      <c r="AA40" s="8" t="s">
        <v>46</v>
      </c>
      <c r="AB40" s="9">
        <v>1.0907800000000001</v>
      </c>
    </row>
    <row r="41" spans="1:28" x14ac:dyDescent="0.35">
      <c r="A41" s="4">
        <v>3416</v>
      </c>
      <c r="B41" s="5" t="s">
        <v>136</v>
      </c>
      <c r="C41" s="6">
        <v>43808</v>
      </c>
      <c r="D41" s="4">
        <v>100</v>
      </c>
      <c r="E41" s="8" t="s">
        <v>47</v>
      </c>
      <c r="F41" s="7" t="s">
        <v>140</v>
      </c>
      <c r="G41" s="8" t="s">
        <v>141</v>
      </c>
      <c r="H41" s="7" t="str">
        <f>"000008"</f>
        <v>000008</v>
      </c>
      <c r="I41" s="6">
        <v>43558</v>
      </c>
      <c r="J41" s="7" t="str">
        <f>"000029"</f>
        <v>000029</v>
      </c>
      <c r="K41" s="6">
        <v>43613</v>
      </c>
      <c r="L41" s="7" t="str">
        <f>"000125"</f>
        <v>000125</v>
      </c>
      <c r="M41" s="6">
        <v>43698</v>
      </c>
      <c r="N41" s="7">
        <v>18</v>
      </c>
      <c r="O41" s="7" t="str">
        <f>"006691"</f>
        <v>006691</v>
      </c>
      <c r="P41" s="6">
        <v>43805</v>
      </c>
      <c r="Q41" s="9">
        <v>109.764</v>
      </c>
      <c r="R41" s="9">
        <v>65.789069999999995</v>
      </c>
      <c r="S41" s="9">
        <v>43.974930000000001</v>
      </c>
      <c r="T41" s="7">
        <v>13</v>
      </c>
      <c r="U41" s="6">
        <v>43808</v>
      </c>
      <c r="V41" s="7">
        <v>9886066040</v>
      </c>
      <c r="W41" s="8" t="s">
        <v>139</v>
      </c>
      <c r="X41" s="7" t="s">
        <v>41</v>
      </c>
      <c r="Y41" s="8" t="s">
        <v>42</v>
      </c>
      <c r="Z41" s="7" t="s">
        <v>45</v>
      </c>
      <c r="AA41" s="8" t="s">
        <v>46</v>
      </c>
      <c r="AB41" s="9">
        <v>1.0976399999999999</v>
      </c>
    </row>
    <row r="42" spans="1:28" x14ac:dyDescent="0.35">
      <c r="A42" s="4">
        <v>3417</v>
      </c>
      <c r="B42" s="5" t="s">
        <v>136</v>
      </c>
      <c r="C42" s="6">
        <v>43808</v>
      </c>
      <c r="D42" s="4">
        <v>100</v>
      </c>
      <c r="E42" s="8" t="s">
        <v>47</v>
      </c>
      <c r="F42" s="7" t="s">
        <v>142</v>
      </c>
      <c r="G42" s="8" t="s">
        <v>143</v>
      </c>
      <c r="H42" s="7" t="str">
        <f>"000006"</f>
        <v>000006</v>
      </c>
      <c r="I42" s="6">
        <v>43558</v>
      </c>
      <c r="J42" s="7" t="str">
        <f>"000030"</f>
        <v>000030</v>
      </c>
      <c r="K42" s="6">
        <v>43613</v>
      </c>
      <c r="L42" s="7" t="str">
        <f>"000126"</f>
        <v>000126</v>
      </c>
      <c r="M42" s="6">
        <v>43698</v>
      </c>
      <c r="N42" s="7">
        <v>18</v>
      </c>
      <c r="O42" s="7" t="str">
        <f>"006692"</f>
        <v>006692</v>
      </c>
      <c r="P42" s="6">
        <v>43805</v>
      </c>
      <c r="Q42" s="9">
        <v>109.74299999999999</v>
      </c>
      <c r="R42" s="9">
        <v>65.791460000000001</v>
      </c>
      <c r="S42" s="9">
        <v>43.951540000000001</v>
      </c>
      <c r="T42" s="7">
        <v>13</v>
      </c>
      <c r="U42" s="6">
        <v>43808</v>
      </c>
      <c r="V42" s="7">
        <v>9886066040</v>
      </c>
      <c r="W42" s="8" t="s">
        <v>139</v>
      </c>
      <c r="X42" s="7" t="s">
        <v>41</v>
      </c>
      <c r="Y42" s="8" t="s">
        <v>42</v>
      </c>
      <c r="Z42" s="7" t="s">
        <v>45</v>
      </c>
      <c r="AA42" s="8" t="s">
        <v>46</v>
      </c>
      <c r="AB42" s="9">
        <v>1.0974299999999999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2020-01-28T12:07:08Z</dcterms:modified>
</cp:coreProperties>
</file>