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L52" i="1"/>
  <c r="J52" i="1"/>
  <c r="H52" i="1"/>
  <c r="O51" i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<sst xmlns="http://schemas.openxmlformats.org/spreadsheetml/2006/main" count="487" uniqueCount="179">
  <si>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</si>
  <si>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</si>
  <si>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</si>
  <si>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</si>
  <si>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</si>
  <si>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</si>
  <si>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</si>
  <si>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</si>
  <si>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</si>
  <si>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</si>
  <si>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</si>
  <si>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</si>
  <si>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</si>
  <si>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</si>
  <si>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</si>
  <si>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</si>
  <si>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</si>
  <si>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</si>
  <si>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</si>
  <si>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</si>
  <si>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</si>
  <si>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</si>
  <si>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</si>
  <si>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</si>
  <si>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</si>
  <si>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</si>
  <si>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</si>
  <si>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</si>
  <si>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</si>
  <si>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</si>
  <si>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</si>
  <si>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</si>
  <si>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</si>
  <si>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P3110</t>
  </si>
  <si>
    <t>14th Finance Commission Grant Works</t>
  </si>
  <si>
    <t>P3409</t>
  </si>
  <si>
    <t>SFC Untied SC-SP/TSP Grant works</t>
  </si>
  <si>
    <t>P3111</t>
  </si>
  <si>
    <t>State Finance Commission Untied Grant Works</t>
  </si>
  <si>
    <t>P0190</t>
  </si>
  <si>
    <t>Works sanctioned by Hon Mayor</t>
  </si>
  <si>
    <t>P3075</t>
  </si>
  <si>
    <t>Special comprehensive development works in Bangalore city (Bangalore city in charge Minister Discretionary Grants)</t>
  </si>
  <si>
    <t>P3298</t>
  </si>
  <si>
    <t>14th Finance Commission Works - SWM Works</t>
  </si>
  <si>
    <t>Vrisahbhavathi Nagara</t>
  </si>
  <si>
    <t>102-18-000056</t>
  </si>
  <si>
    <t>Distribution of dustbins in ward no 102</t>
  </si>
  <si>
    <t>kridl</t>
  </si>
  <si>
    <t>ddo200</t>
  </si>
  <si>
    <t xml:space="preserve"> Assistant Executive Engineer Nagapura West Zone</t>
  </si>
  <si>
    <t>102-17-000068</t>
  </si>
  <si>
    <t>Providing asphalting to 3rd main (petrol bunk road) at Vinayaka Nagara in ward no 102</t>
  </si>
  <si>
    <t>P2178</t>
  </si>
  <si>
    <t>Works sanctioned by Dy. Mayor</t>
  </si>
  <si>
    <t>102-17-000110</t>
  </si>
  <si>
    <t>Providing Modren Dust Bin in Bangalore City in ward no 102</t>
  </si>
  <si>
    <t>102-17-000089</t>
  </si>
  <si>
    <t>Providing and laying cement concrete to 6th main road Kamakshipalya in ward no 102</t>
  </si>
  <si>
    <t>102-17-000090</t>
  </si>
  <si>
    <t>Providing and laying cement concrete to 5th main road Kamakshipalya in ward no 102</t>
  </si>
  <si>
    <t>102-17-000067</t>
  </si>
  <si>
    <t>Improvements to drain and Providing Cement Concrete to 2nd main road (Northern side) at Sannakkibayalu in ward no 102</t>
  </si>
  <si>
    <t>102-17-000088</t>
  </si>
  <si>
    <t>Providing and laying cement concrete to 7th main road Kamakshipalya in ward no 102</t>
  </si>
  <si>
    <t xml:space="preserve">M/s KRIDL </t>
  </si>
  <si>
    <t>102-17-000087</t>
  </si>
  <si>
    <t>Improvements at 7th main road Kamakshipalya in ward no 102</t>
  </si>
  <si>
    <t>102-17-000099</t>
  </si>
  <si>
    <t>Improvements to drains and culverts at chandrappa road in ward NO.102</t>
  </si>
  <si>
    <t>102-17-000100</t>
  </si>
  <si>
    <t>Providing and laying cement concrete to Chandrappa road from ch. 0.00 to 150.00 mtrs in ward No.102</t>
  </si>
  <si>
    <t>102-17-000101</t>
  </si>
  <si>
    <t>Providing and laying cement concrete to chandrappa road from ch. 150.00 to 290.00 mtrs in ward NO.102</t>
  </si>
  <si>
    <t>102-17-000081</t>
  </si>
  <si>
    <t>Providing and laying missing slabs at Maruthangara, Vinayakanagara an Sannakki bailu main roads in ward NO.102</t>
  </si>
  <si>
    <t>N.R.Mahesh</t>
  </si>
  <si>
    <t>102-17-000074</t>
  </si>
  <si>
    <t>Providing and fixing Name boards in ward NO.102</t>
  </si>
  <si>
    <t>B.V.Harish</t>
  </si>
  <si>
    <t>102-17-000045</t>
  </si>
  <si>
    <t>Providing cement concrete to 2nd cross 11th main (Northern side) Maruthinagara in ward no 102</t>
  </si>
  <si>
    <t>102-17-000103</t>
  </si>
  <si>
    <t>Providing Cement concret to damaged roads at Vinayaka layout and sannakibayalu in ward No.102</t>
  </si>
  <si>
    <t>102-17-000104</t>
  </si>
  <si>
    <t>Providing cement concrete to 3rd A Cross S-S near Lakshmi vallabha kalyanamantapa in ward NO.102</t>
  </si>
  <si>
    <t>102-17-000094</t>
  </si>
  <si>
    <t>Construction of RCC drain with deck slab at 8th cross Maruthinagara in ward no 102 Ch50.00 to 100.00mtrs</t>
  </si>
  <si>
    <t>102-17-000093</t>
  </si>
  <si>
    <t>Construction of RCC drain with deck slab at 8th cross Maruthinagara in ward no 102 Ch:0 .00 to 50.00mtrs</t>
  </si>
  <si>
    <t>102-19-000010</t>
  </si>
  <si>
    <t>Providing protective wall right side of Govt School at NGO s colony in ward no 102</t>
  </si>
  <si>
    <t>102-19-000008</t>
  </si>
  <si>
    <t>Providing RCC retaining wall near Govt School NGO s colony  in ward no 102</t>
  </si>
  <si>
    <t>102-19-000014</t>
  </si>
  <si>
    <t>Providing Protective  Wall at Left side of Govt School building NGO s colony in ward no 102</t>
  </si>
  <si>
    <t>102-17-000106</t>
  </si>
  <si>
    <t>Improvements to footpath, drain and providing RCC drain to 2nd main road, kamakshipalya, from 8th main to Ambabhavani temple in ward NO.102</t>
  </si>
  <si>
    <t>102-19-000012</t>
  </si>
  <si>
    <t>Providing  RCC drain 1st cross near Govt School in Vrushabhavathinagara ward no 102</t>
  </si>
  <si>
    <t>July</t>
  </si>
  <si>
    <t>102-17-000066</t>
  </si>
  <si>
    <t>Providing Cement Concrete to 4th b cross and surroundings at Vinayaka Nagara in ward no 102</t>
  </si>
  <si>
    <t>102-17-000026</t>
  </si>
  <si>
    <t>Improvements to drains and culverts at 3rd main road Manivilas garden ( Devina apartment upto Government school) in ward No.102</t>
  </si>
  <si>
    <t>P3175</t>
  </si>
  <si>
    <t>Special development works in ward No.172, 154, 197, 77, 75, 192, 102, 18, 41 (Rs.400 lakhs each ward)</t>
  </si>
  <si>
    <t>102-17-000105</t>
  </si>
  <si>
    <t>Providing cement concrete to cross roads near Sapthagiri hospital in ward NO.102</t>
  </si>
  <si>
    <t>102-17-000025</t>
  </si>
  <si>
    <t>Improvements to drains and culverts at 3rd main road Manivilas garden (from ward office to Devina apartment) in ward No.102</t>
  </si>
  <si>
    <t>m/s kridl</t>
  </si>
  <si>
    <t>102-19-000013</t>
  </si>
  <si>
    <t>Providing Project Management Consultancy services for the works of Package-1 under pcode of P3409 (SFC United SC-SP/TSP Grant Work Works) in Mahalakshmipuram Division</t>
  </si>
  <si>
    <t>August</t>
  </si>
  <si>
    <t>102-19-000011</t>
  </si>
  <si>
    <t>Providing and Improvements to CC road and drain near Veerabhadreshwara choulatry in Vrushabhavathinagara ward no 102</t>
  </si>
  <si>
    <t>102-18-000010</t>
  </si>
  <si>
    <t>Improvements to drains and culverts at 4th main (Mourya school road) and 5th main in ward No 102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</si>
  <si>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</si>
  <si>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</si>
  <si>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102-18-000012</t>
  </si>
  <si>
    <t>Providing CC to lane at Sannakkibailu near SWD in Ward No 102</t>
  </si>
  <si>
    <t>102-18-000017</t>
  </si>
  <si>
    <t>Construction of Culverts at NGOs colony and Surrounding area in Ward No 102</t>
  </si>
  <si>
    <t>P3328</t>
  </si>
  <si>
    <t>Special Development works at Ward No.22, 31, 44, 70, 74, 102, 135, 176 Rs.1 Cr Each, Ward No.86, 112, 144 Rs.5.Cr Each</t>
  </si>
  <si>
    <t>102-18-000013</t>
  </si>
  <si>
    <t>Providing CC to 3rd A Main road from Ch:150.0 mtr to 215.00mtr (Balance portion) in Ward no 102</t>
  </si>
  <si>
    <t>102-19-000034</t>
  </si>
  <si>
    <t>Providing RCC drain 4th, 4th B, 4th C, and 4th D Sannakki bailu and surrounging in ward No.102 Vrushabhavathinagara</t>
  </si>
  <si>
    <t>102-19-000035</t>
  </si>
  <si>
    <t>Construction of RCC drain at 11th main in ward No.102</t>
  </si>
  <si>
    <t>102-18-000072</t>
  </si>
  <si>
    <t>Construciton of RCC drain at 3rd cross Sannakki bailu Behind ganesha temple road in ward NO 102 ch 150 00 to 300 00</t>
  </si>
  <si>
    <t>102-18-000071</t>
  </si>
  <si>
    <t>Construciton of RCC drain at 3rd cross Sannakki bailu Behind ganesha temple road in ward NO 102 ch 0 00 to 150 00</t>
  </si>
  <si>
    <t>102-19-000006</t>
  </si>
  <si>
    <t>Improvements of drain at 1st main road RHS Near Shanimahathma Temple road in Sannakkibayalu and Construction of RCC drain behind Shanimahathma Temple road Sannakkibayalu in ward no 102</t>
  </si>
  <si>
    <t>P3506</t>
  </si>
  <si>
    <t>Developmental works at ward No.22, 24, 54, 56, 102, 125, 133 Rs.2.00 Cr each</t>
  </si>
  <si>
    <t>September</t>
  </si>
  <si>
    <t>102-18-000075</t>
  </si>
  <si>
    <t>Construction of Retaining wall on Back side and Anjaneya temple in ward no 102</t>
  </si>
  <si>
    <t>102-17-000111</t>
  </si>
  <si>
    <t>Providing CC Camera at Garbage Block Spots in ward no 102</t>
  </si>
  <si>
    <t>102-18-000016</t>
  </si>
  <si>
    <t>Construction of RCC drain and Providing CC to roads at cross roads of 4th C main Vinyakanagar in Ward No 102</t>
  </si>
  <si>
    <t>102-18-000011</t>
  </si>
  <si>
    <t>Providing missing slabs and Improvements to damaged portion of foothpath and drains at BEML layout Maruthinagara and NGOS colony in Ward No 102</t>
  </si>
  <si>
    <t>102-18-000020</t>
  </si>
  <si>
    <t>Improvements to drains and Providing CC to crossroad of 4th main (Near St. Marryes School) and 6th main road Kamakshipalya in Ward No 102</t>
  </si>
  <si>
    <t>October</t>
  </si>
  <si>
    <t>M/s. Accord Consultants.,</t>
  </si>
  <si>
    <t>Providing RCC drain 1st cross near Govt School in Vrushabhavathinagara ward no 102</t>
  </si>
  <si>
    <t>M/s. Mecadez Core Technologies Pvt. Ltd.,</t>
  </si>
  <si>
    <t>102-17-000043</t>
  </si>
  <si>
    <t>Borwell annual maintenance and repairs in ward no-102</t>
  </si>
  <si>
    <t>P1802</t>
  </si>
  <si>
    <t>Water Supply New Areas</t>
  </si>
  <si>
    <t>102-18-000004</t>
  </si>
  <si>
    <t>Construction of RCC drain and culverts at 11th main road infront of Venkataramanaswamy temple in Ward no 102</t>
  </si>
  <si>
    <t>ddo201</t>
  </si>
  <si>
    <t xml:space="preserve"> Assistant Executive Engineer Mahalakshmipuram West Zone</t>
  </si>
  <si>
    <t>102-17-000116</t>
  </si>
  <si>
    <t>Comprehensive development of roads and drains in ward no 67, 75,and 102 Nagapura Sub Division (MLP-Package-2)</t>
  </si>
  <si>
    <t>Sri.M.S.Venkatesh,</t>
  </si>
  <si>
    <t>P3158</t>
  </si>
  <si>
    <t>SIP Infrastructure Project works</t>
  </si>
  <si>
    <t>102-18-000048</t>
  </si>
  <si>
    <t>Providing and maintenance of Street light in ward no 102</t>
  </si>
  <si>
    <t>Executive Engineer 4 KRIDL</t>
  </si>
  <si>
    <t>P3290</t>
  </si>
  <si>
    <t>14th Finance Commission Works - Providing Street Lights and Maintenance</t>
  </si>
  <si>
    <t>ddo209</t>
  </si>
  <si>
    <t xml:space="preserve"> Assistant Executive Engineer Electrical West Zone</t>
  </si>
  <si>
    <t>December</t>
  </si>
  <si>
    <t>102-18-000001</t>
  </si>
  <si>
    <t>Construction of RCC drains at 4th K cross Maruthinagara in Ward No 102 Vrushabhavathinagar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</si>
</sst>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topLeftCell="A37" workbookViewId="0">
      <selection activeCell="A2" sqref="A2:XFD52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3444</v>
      </c>
      <c r="B2" s="5" t="s">
        <v>28</v>
      </c>
      <c r="C2" s="6">
        <v>43563</v>
      </c>
      <c r="D2" s="7">
        <v>102</v>
      </c>
      <c r="E2" s="8" t="s">
        <v>45</v>
      </c>
      <c r="F2" s="7" t="s">
        <v>46</v>
      </c>
      <c r="G2" s="8" t="s">
        <v>47</v>
      </c>
      <c r="H2" s="7" t="str">
        <f>"000239"</f>
        <v>000239</v>
      </c>
      <c r="I2" s="6">
        <v>43482</v>
      </c>
      <c r="J2" s="7" t="str">
        <f>"000171"</f>
        <v>000171</v>
      </c>
      <c r="K2" s="6">
        <v>43514</v>
      </c>
      <c r="L2" s="7" t="str">
        <f>"000468"</f>
        <v>000468</v>
      </c>
      <c r="M2" s="6">
        <v>43515</v>
      </c>
      <c r="N2" s="7">
        <v>18</v>
      </c>
      <c r="O2" s="7" t="str">
        <f>"000053"</f>
        <v>000053</v>
      </c>
      <c r="P2" s="6">
        <v>43559</v>
      </c>
      <c r="Q2" s="9">
        <v>14.9872</v>
      </c>
      <c r="R2" s="9">
        <v>1.63222</v>
      </c>
      <c r="S2" s="9">
        <v>13.354979999999999</v>
      </c>
      <c r="T2" s="7">
        <v>4</v>
      </c>
      <c r="U2" s="6">
        <v>43563</v>
      </c>
      <c r="V2" s="7">
        <v>9900333496</v>
      </c>
      <c r="W2" s="8" t="s">
        <v>48</v>
      </c>
      <c r="X2" s="7" t="s">
        <v>43</v>
      </c>
      <c r="Y2" s="8" t="s">
        <v>44</v>
      </c>
      <c r="Z2" s="7" t="s">
        <v>49</v>
      </c>
      <c r="AA2" s="8" t="s">
        <v>50</v>
      </c>
      <c r="AB2" s="9">
        <f t="shared" ref="AB2:AB17" si="0">Q2/100</f>
        <v>0.14987200000000001</v>
      </c>
    </row>
    <row r="3" spans="1:28" x14ac:dyDescent="0.35">
      <c r="A3" s="4">
        <v>3445</v>
      </c>
      <c r="B3" s="5" t="s">
        <v>28</v>
      </c>
      <c r="C3" s="6">
        <v>43580</v>
      </c>
      <c r="D3" s="7">
        <v>102</v>
      </c>
      <c r="E3" s="8" t="s">
        <v>45</v>
      </c>
      <c r="F3" s="7" t="s">
        <v>51</v>
      </c>
      <c r="G3" s="8" t="s">
        <v>52</v>
      </c>
      <c r="H3" s="7" t="str">
        <f>"000388"</f>
        <v>000388</v>
      </c>
      <c r="I3" s="6">
        <v>42731</v>
      </c>
      <c r="J3" s="7" t="str">
        <f>"000128"</f>
        <v>000128</v>
      </c>
      <c r="K3" s="6">
        <v>42916</v>
      </c>
      <c r="L3" s="7" t="str">
        <f>"000355"</f>
        <v>000355</v>
      </c>
      <c r="M3" s="6">
        <v>42916</v>
      </c>
      <c r="N3" s="7">
        <v>17</v>
      </c>
      <c r="O3" s="7" t="str">
        <f>"000750"</f>
        <v>000750</v>
      </c>
      <c r="P3" s="6">
        <v>43578</v>
      </c>
      <c r="Q3" s="9">
        <v>9.8757900000000003</v>
      </c>
      <c r="R3" s="9">
        <v>1.36703</v>
      </c>
      <c r="S3" s="9">
        <v>8.5087600000000005</v>
      </c>
      <c r="T3" s="7">
        <v>28</v>
      </c>
      <c r="U3" s="6">
        <v>43580</v>
      </c>
      <c r="V3" s="7">
        <v>9900333496</v>
      </c>
      <c r="W3" s="8" t="s">
        <v>48</v>
      </c>
      <c r="X3" s="7" t="s">
        <v>53</v>
      </c>
      <c r="Y3" s="8" t="s">
        <v>54</v>
      </c>
      <c r="Z3" s="7" t="s">
        <v>49</v>
      </c>
      <c r="AA3" s="8" t="s">
        <v>50</v>
      </c>
      <c r="AB3" s="9">
        <f t="shared" si="0"/>
        <v>9.875790000000001E-2</v>
      </c>
    </row>
    <row r="4" spans="1:28" x14ac:dyDescent="0.35">
      <c r="A4" s="4">
        <v>3446</v>
      </c>
      <c r="B4" s="5" t="s">
        <v>32</v>
      </c>
      <c r="C4" s="6">
        <v>43591</v>
      </c>
      <c r="D4" s="7">
        <v>102</v>
      </c>
      <c r="E4" s="8" t="s">
        <v>45</v>
      </c>
      <c r="F4" s="7" t="s">
        <v>55</v>
      </c>
      <c r="G4" s="8" t="s">
        <v>56</v>
      </c>
      <c r="H4" s="7" t="str">
        <f>"000234"</f>
        <v>000234</v>
      </c>
      <c r="I4" s="6">
        <v>43481</v>
      </c>
      <c r="J4" s="7" t="str">
        <f>"000186"</f>
        <v>000186</v>
      </c>
      <c r="K4" s="6">
        <v>43526</v>
      </c>
      <c r="L4" s="7" t="str">
        <f>"000498"</f>
        <v>000498</v>
      </c>
      <c r="M4" s="6">
        <v>43530</v>
      </c>
      <c r="N4" s="7">
        <v>17</v>
      </c>
      <c r="O4" s="7" t="str">
        <f>"001232"</f>
        <v>001232</v>
      </c>
      <c r="P4" s="6">
        <v>43585</v>
      </c>
      <c r="Q4" s="9">
        <v>1.4998800000000001</v>
      </c>
      <c r="R4" s="9">
        <v>0.14828</v>
      </c>
      <c r="S4" s="9">
        <v>1.3515999999999999</v>
      </c>
      <c r="T4" s="7">
        <v>35</v>
      </c>
      <c r="U4" s="6">
        <v>43591</v>
      </c>
      <c r="V4" s="7">
        <v>9900333496</v>
      </c>
      <c r="W4" s="8" t="s">
        <v>48</v>
      </c>
      <c r="X4" s="7" t="s">
        <v>33</v>
      </c>
      <c r="Y4" s="8" t="s">
        <v>34</v>
      </c>
      <c r="Z4" s="7" t="s">
        <v>49</v>
      </c>
      <c r="AA4" s="8" t="s">
        <v>50</v>
      </c>
      <c r="AB4" s="9">
        <f t="shared" si="0"/>
        <v>1.4998800000000001E-2</v>
      </c>
    </row>
    <row r="5" spans="1:28" x14ac:dyDescent="0.35">
      <c r="A5" s="4">
        <v>3447</v>
      </c>
      <c r="B5" s="5" t="s">
        <v>32</v>
      </c>
      <c r="C5" s="6">
        <v>43591</v>
      </c>
      <c r="D5" s="7">
        <v>102</v>
      </c>
      <c r="E5" s="8" t="s">
        <v>45</v>
      </c>
      <c r="F5" s="7" t="s">
        <v>57</v>
      </c>
      <c r="G5" s="8" t="s">
        <v>58</v>
      </c>
      <c r="H5" s="7" t="str">
        <f>"000001"</f>
        <v>000001</v>
      </c>
      <c r="I5" s="6">
        <v>42947</v>
      </c>
      <c r="J5" s="7" t="str">
        <f>"000002"</f>
        <v>000002</v>
      </c>
      <c r="K5" s="6">
        <v>42947</v>
      </c>
      <c r="L5" s="7" t="str">
        <f>"000004"</f>
        <v>000004</v>
      </c>
      <c r="M5" s="6">
        <v>42947</v>
      </c>
      <c r="N5" s="7">
        <v>17</v>
      </c>
      <c r="O5" s="7" t="str">
        <f>"001204"</f>
        <v>001204</v>
      </c>
      <c r="P5" s="6">
        <v>43582</v>
      </c>
      <c r="Q5" s="9">
        <v>19.78726</v>
      </c>
      <c r="R5" s="9">
        <v>2.8660399999999999</v>
      </c>
      <c r="S5" s="9">
        <v>16.921220000000002</v>
      </c>
      <c r="T5" s="7">
        <v>37</v>
      </c>
      <c r="U5" s="6">
        <v>43591</v>
      </c>
      <c r="V5" s="7">
        <v>9900333496</v>
      </c>
      <c r="W5" s="8" t="s">
        <v>48</v>
      </c>
      <c r="X5" s="7" t="s">
        <v>39</v>
      </c>
      <c r="Y5" s="8" t="s">
        <v>40</v>
      </c>
      <c r="Z5" s="7" t="s">
        <v>49</v>
      </c>
      <c r="AA5" s="8" t="s">
        <v>50</v>
      </c>
      <c r="AB5" s="9">
        <f t="shared" si="0"/>
        <v>0.19787260000000001</v>
      </c>
    </row>
    <row r="6" spans="1:28" x14ac:dyDescent="0.35">
      <c r="A6" s="4">
        <v>3448</v>
      </c>
      <c r="B6" s="5" t="s">
        <v>32</v>
      </c>
      <c r="C6" s="6">
        <v>43602</v>
      </c>
      <c r="D6" s="7">
        <v>102</v>
      </c>
      <c r="E6" s="8" t="s">
        <v>45</v>
      </c>
      <c r="F6" s="7" t="s">
        <v>59</v>
      </c>
      <c r="G6" s="8" t="s">
        <v>60</v>
      </c>
      <c r="H6" s="7" t="str">
        <f>"000489"</f>
        <v>000489</v>
      </c>
      <c r="I6" s="6">
        <v>42808</v>
      </c>
      <c r="J6" s="7" t="str">
        <f>"000012"</f>
        <v>000012</v>
      </c>
      <c r="K6" s="6">
        <v>42982</v>
      </c>
      <c r="L6" s="7" t="str">
        <f>"000025"</f>
        <v>000025</v>
      </c>
      <c r="M6" s="6">
        <v>42982</v>
      </c>
      <c r="N6" s="7">
        <v>17</v>
      </c>
      <c r="O6" s="7" t="str">
        <f>"001495"</f>
        <v>001495</v>
      </c>
      <c r="P6" s="6">
        <v>43599</v>
      </c>
      <c r="Q6" s="9">
        <v>14.86181</v>
      </c>
      <c r="R6" s="9">
        <v>2.13</v>
      </c>
      <c r="S6" s="9">
        <v>12.731809999999999</v>
      </c>
      <c r="T6" s="7">
        <v>49</v>
      </c>
      <c r="U6" s="6">
        <v>43602</v>
      </c>
      <c r="V6" s="7">
        <v>9900333496</v>
      </c>
      <c r="W6" s="8" t="s">
        <v>48</v>
      </c>
      <c r="X6" s="7" t="s">
        <v>39</v>
      </c>
      <c r="Y6" s="8" t="s">
        <v>40</v>
      </c>
      <c r="Z6" s="7" t="s">
        <v>49</v>
      </c>
      <c r="AA6" s="8" t="s">
        <v>50</v>
      </c>
      <c r="AB6" s="9">
        <f t="shared" si="0"/>
        <v>0.1486181</v>
      </c>
    </row>
    <row r="7" spans="1:28" x14ac:dyDescent="0.35">
      <c r="A7" s="4">
        <v>3449</v>
      </c>
      <c r="B7" s="5" t="s">
        <v>32</v>
      </c>
      <c r="C7" s="6">
        <v>43602</v>
      </c>
      <c r="D7" s="7">
        <v>102</v>
      </c>
      <c r="E7" s="8" t="s">
        <v>45</v>
      </c>
      <c r="F7" s="7" t="s">
        <v>61</v>
      </c>
      <c r="G7" s="8" t="s">
        <v>62</v>
      </c>
      <c r="H7" s="7" t="str">
        <f>"003870"</f>
        <v>003870</v>
      </c>
      <c r="I7" s="6">
        <v>42731</v>
      </c>
      <c r="J7" s="7" t="str">
        <f>"000001"</f>
        <v>000001</v>
      </c>
      <c r="K7" s="6">
        <v>42825</v>
      </c>
      <c r="L7" s="7" t="str">
        <f>"000034"</f>
        <v>000034</v>
      </c>
      <c r="M7" s="6">
        <v>42984</v>
      </c>
      <c r="N7" s="7">
        <v>17</v>
      </c>
      <c r="O7" s="7" t="str">
        <f>"001496"</f>
        <v>001496</v>
      </c>
      <c r="P7" s="6">
        <v>43599</v>
      </c>
      <c r="Q7" s="9">
        <v>16.821000000000002</v>
      </c>
      <c r="R7" s="9">
        <v>2.5267900000000001</v>
      </c>
      <c r="S7" s="9">
        <v>14.29421</v>
      </c>
      <c r="T7" s="7">
        <v>49</v>
      </c>
      <c r="U7" s="6">
        <v>43602</v>
      </c>
      <c r="V7" s="7">
        <v>9900333496</v>
      </c>
      <c r="W7" s="8" t="s">
        <v>48</v>
      </c>
      <c r="X7" s="7" t="s">
        <v>53</v>
      </c>
      <c r="Y7" s="8" t="s">
        <v>54</v>
      </c>
      <c r="Z7" s="7" t="s">
        <v>49</v>
      </c>
      <c r="AA7" s="8" t="s">
        <v>50</v>
      </c>
      <c r="AB7" s="9">
        <f t="shared" si="0"/>
        <v>0.16821000000000003</v>
      </c>
    </row>
    <row r="8" spans="1:28" x14ac:dyDescent="0.35">
      <c r="A8" s="4">
        <v>3450</v>
      </c>
      <c r="B8" s="5" t="s">
        <v>32</v>
      </c>
      <c r="C8" s="6">
        <v>43602</v>
      </c>
      <c r="D8" s="7">
        <v>102</v>
      </c>
      <c r="E8" s="8" t="s">
        <v>45</v>
      </c>
      <c r="F8" s="7" t="s">
        <v>63</v>
      </c>
      <c r="G8" s="8" t="s">
        <v>64</v>
      </c>
      <c r="H8" s="7" t="str">
        <f>"000487"</f>
        <v>000487</v>
      </c>
      <c r="I8" s="6">
        <v>42808</v>
      </c>
      <c r="J8" s="7" t="str">
        <f>"000018"</f>
        <v>000018</v>
      </c>
      <c r="K8" s="6">
        <v>42984</v>
      </c>
      <c r="L8" s="7" t="str">
        <f>"000035"</f>
        <v>000035</v>
      </c>
      <c r="M8" s="6">
        <v>42984</v>
      </c>
      <c r="N8" s="7">
        <v>17</v>
      </c>
      <c r="O8" s="7" t="str">
        <f>"001497"</f>
        <v>001497</v>
      </c>
      <c r="P8" s="6">
        <v>43599</v>
      </c>
      <c r="Q8" s="9">
        <v>19.80941</v>
      </c>
      <c r="R8" s="9">
        <v>2.9048600000000002</v>
      </c>
      <c r="S8" s="9">
        <v>16.90455</v>
      </c>
      <c r="T8" s="7">
        <v>49</v>
      </c>
      <c r="U8" s="6">
        <v>43602</v>
      </c>
      <c r="V8" s="7">
        <v>9900333496</v>
      </c>
      <c r="W8" s="8" t="s">
        <v>65</v>
      </c>
      <c r="X8" s="7" t="s">
        <v>39</v>
      </c>
      <c r="Y8" s="8" t="s">
        <v>40</v>
      </c>
      <c r="Z8" s="7" t="s">
        <v>49</v>
      </c>
      <c r="AA8" s="8" t="s">
        <v>50</v>
      </c>
      <c r="AB8" s="9">
        <f t="shared" si="0"/>
        <v>0.1980941</v>
      </c>
    </row>
    <row r="9" spans="1:28" x14ac:dyDescent="0.35">
      <c r="A9" s="4">
        <v>3451</v>
      </c>
      <c r="B9" s="5" t="s">
        <v>32</v>
      </c>
      <c r="C9" s="6">
        <v>43602</v>
      </c>
      <c r="D9" s="7">
        <v>102</v>
      </c>
      <c r="E9" s="8" t="s">
        <v>45</v>
      </c>
      <c r="F9" s="7" t="s">
        <v>66</v>
      </c>
      <c r="G9" s="8" t="s">
        <v>67</v>
      </c>
      <c r="H9" s="7" t="str">
        <f>"000486"</f>
        <v>000486</v>
      </c>
      <c r="I9" s="6">
        <v>42808</v>
      </c>
      <c r="J9" s="7" t="str">
        <f>"000019"</f>
        <v>000019</v>
      </c>
      <c r="K9" s="6">
        <v>42984</v>
      </c>
      <c r="L9" s="7" t="str">
        <f>"000036"</f>
        <v>000036</v>
      </c>
      <c r="M9" s="6">
        <v>42984</v>
      </c>
      <c r="N9" s="7">
        <v>17</v>
      </c>
      <c r="O9" s="7" t="str">
        <f>"001498"</f>
        <v>001498</v>
      </c>
      <c r="P9" s="6">
        <v>43599</v>
      </c>
      <c r="Q9" s="9">
        <v>19.81165</v>
      </c>
      <c r="R9" s="9">
        <v>2.89005</v>
      </c>
      <c r="S9" s="9">
        <v>16.921600000000002</v>
      </c>
      <c r="T9" s="7">
        <v>49</v>
      </c>
      <c r="U9" s="6">
        <v>43602</v>
      </c>
      <c r="V9" s="7">
        <v>9900333496</v>
      </c>
      <c r="W9" s="8" t="s">
        <v>65</v>
      </c>
      <c r="X9" s="7" t="s">
        <v>39</v>
      </c>
      <c r="Y9" s="8" t="s">
        <v>40</v>
      </c>
      <c r="Z9" s="7" t="s">
        <v>49</v>
      </c>
      <c r="AA9" s="8" t="s">
        <v>50</v>
      </c>
      <c r="AB9" s="9">
        <f t="shared" si="0"/>
        <v>0.1981165</v>
      </c>
    </row>
    <row r="10" spans="1:28" x14ac:dyDescent="0.35">
      <c r="A10" s="4">
        <v>3452</v>
      </c>
      <c r="B10" s="5" t="s">
        <v>32</v>
      </c>
      <c r="C10" s="6">
        <v>43602</v>
      </c>
      <c r="D10" s="7">
        <v>102</v>
      </c>
      <c r="E10" s="8" t="s">
        <v>45</v>
      </c>
      <c r="F10" s="7" t="s">
        <v>68</v>
      </c>
      <c r="G10" s="8" t="s">
        <v>69</v>
      </c>
      <c r="H10" s="7" t="str">
        <f>"000089"</f>
        <v>000089</v>
      </c>
      <c r="I10" s="6">
        <v>42913</v>
      </c>
      <c r="J10" s="7" t="str">
        <f>"000021"</f>
        <v>000021</v>
      </c>
      <c r="K10" s="6">
        <v>42985</v>
      </c>
      <c r="L10" s="7" t="str">
        <f>"000038"</f>
        <v>000038</v>
      </c>
      <c r="M10" s="6">
        <v>42985</v>
      </c>
      <c r="N10" s="7">
        <v>17</v>
      </c>
      <c r="O10" s="7" t="str">
        <f>"001510"</f>
        <v>001510</v>
      </c>
      <c r="P10" s="6">
        <v>43599</v>
      </c>
      <c r="Q10" s="9">
        <v>19.806930000000001</v>
      </c>
      <c r="R10" s="9">
        <v>2.8100399999999999</v>
      </c>
      <c r="S10" s="9">
        <v>16.99689</v>
      </c>
      <c r="T10" s="7">
        <v>49</v>
      </c>
      <c r="U10" s="6">
        <v>43602</v>
      </c>
      <c r="V10" s="7">
        <v>9900333496</v>
      </c>
      <c r="W10" s="8" t="s">
        <v>48</v>
      </c>
      <c r="X10" s="7" t="s">
        <v>41</v>
      </c>
      <c r="Y10" s="8" t="s">
        <v>42</v>
      </c>
      <c r="Z10" s="7" t="s">
        <v>49</v>
      </c>
      <c r="AA10" s="8" t="s">
        <v>50</v>
      </c>
      <c r="AB10" s="9">
        <f t="shared" si="0"/>
        <v>0.1980693</v>
      </c>
    </row>
    <row r="11" spans="1:28" x14ac:dyDescent="0.35">
      <c r="A11" s="4">
        <v>3453</v>
      </c>
      <c r="B11" s="5" t="s">
        <v>32</v>
      </c>
      <c r="C11" s="6">
        <v>43602</v>
      </c>
      <c r="D11" s="7">
        <v>102</v>
      </c>
      <c r="E11" s="8" t="s">
        <v>45</v>
      </c>
      <c r="F11" s="7" t="s">
        <v>70</v>
      </c>
      <c r="G11" s="8" t="s">
        <v>71</v>
      </c>
      <c r="H11" s="7" t="str">
        <f>"000090"</f>
        <v>000090</v>
      </c>
      <c r="I11" s="6">
        <v>42913</v>
      </c>
      <c r="J11" s="7" t="str">
        <f>"000022"</f>
        <v>000022</v>
      </c>
      <c r="K11" s="6">
        <v>42985</v>
      </c>
      <c r="L11" s="7" t="str">
        <f>"000039"</f>
        <v>000039</v>
      </c>
      <c r="M11" s="6">
        <v>42985</v>
      </c>
      <c r="N11" s="7">
        <v>17</v>
      </c>
      <c r="O11" s="7" t="str">
        <f>"001511"</f>
        <v>001511</v>
      </c>
      <c r="P11" s="6">
        <v>43599</v>
      </c>
      <c r="Q11" s="9">
        <v>19.804929999999999</v>
      </c>
      <c r="R11" s="9">
        <v>2.8233999999999999</v>
      </c>
      <c r="S11" s="9">
        <v>16.981529999999999</v>
      </c>
      <c r="T11" s="7">
        <v>49</v>
      </c>
      <c r="U11" s="6">
        <v>43602</v>
      </c>
      <c r="V11" s="7">
        <v>9900333496</v>
      </c>
      <c r="W11" s="8" t="s">
        <v>48</v>
      </c>
      <c r="X11" s="7" t="s">
        <v>41</v>
      </c>
      <c r="Y11" s="8" t="s">
        <v>42</v>
      </c>
      <c r="Z11" s="7" t="s">
        <v>49</v>
      </c>
      <c r="AA11" s="8" t="s">
        <v>50</v>
      </c>
      <c r="AB11" s="9">
        <f t="shared" si="0"/>
        <v>0.19804929999999998</v>
      </c>
    </row>
    <row r="12" spans="1:28" x14ac:dyDescent="0.35">
      <c r="A12" s="4">
        <v>3454</v>
      </c>
      <c r="B12" s="5" t="s">
        <v>32</v>
      </c>
      <c r="C12" s="6">
        <v>43602</v>
      </c>
      <c r="D12" s="7">
        <v>102</v>
      </c>
      <c r="E12" s="8" t="s">
        <v>45</v>
      </c>
      <c r="F12" s="7" t="s">
        <v>72</v>
      </c>
      <c r="G12" s="8" t="s">
        <v>73</v>
      </c>
      <c r="H12" s="7" t="str">
        <f>"000091"</f>
        <v>000091</v>
      </c>
      <c r="I12" s="6">
        <v>42913</v>
      </c>
      <c r="J12" s="7" t="str">
        <f>"000023"</f>
        <v>000023</v>
      </c>
      <c r="K12" s="6">
        <v>42985</v>
      </c>
      <c r="L12" s="7" t="str">
        <f>"000040"</f>
        <v>000040</v>
      </c>
      <c r="M12" s="6">
        <v>42985</v>
      </c>
      <c r="N12" s="7">
        <v>17</v>
      </c>
      <c r="O12" s="7" t="str">
        <f>"001512"</f>
        <v>001512</v>
      </c>
      <c r="P12" s="6">
        <v>43599</v>
      </c>
      <c r="Q12" s="9">
        <v>19.80838</v>
      </c>
      <c r="R12" s="9">
        <v>2.81982</v>
      </c>
      <c r="S12" s="9">
        <v>16.98856</v>
      </c>
      <c r="T12" s="7">
        <v>49</v>
      </c>
      <c r="U12" s="6">
        <v>43602</v>
      </c>
      <c r="V12" s="7">
        <v>9900333496</v>
      </c>
      <c r="W12" s="8" t="s">
        <v>48</v>
      </c>
      <c r="X12" s="7" t="s">
        <v>41</v>
      </c>
      <c r="Y12" s="8" t="s">
        <v>42</v>
      </c>
      <c r="Z12" s="7" t="s">
        <v>49</v>
      </c>
      <c r="AA12" s="8" t="s">
        <v>50</v>
      </c>
      <c r="AB12" s="9">
        <f t="shared" si="0"/>
        <v>0.1980838</v>
      </c>
    </row>
    <row r="13" spans="1:28" x14ac:dyDescent="0.35">
      <c r="A13" s="4">
        <v>3455</v>
      </c>
      <c r="B13" s="5" t="s">
        <v>32</v>
      </c>
      <c r="C13" s="6">
        <v>43602</v>
      </c>
      <c r="D13" s="7">
        <v>102</v>
      </c>
      <c r="E13" s="8" t="s">
        <v>45</v>
      </c>
      <c r="F13" s="7" t="s">
        <v>74</v>
      </c>
      <c r="G13" s="8" t="s">
        <v>75</v>
      </c>
      <c r="H13" s="7" t="str">
        <f>"000029"</f>
        <v>000029</v>
      </c>
      <c r="I13" s="6">
        <v>42934</v>
      </c>
      <c r="J13" s="7" t="str">
        <f>"000030"</f>
        <v>000030</v>
      </c>
      <c r="K13" s="6">
        <v>42998</v>
      </c>
      <c r="L13" s="7" t="str">
        <f>"000056"</f>
        <v>000056</v>
      </c>
      <c r="M13" s="6">
        <v>42999</v>
      </c>
      <c r="N13" s="7">
        <v>17</v>
      </c>
      <c r="O13" s="7" t="str">
        <f>"001553"</f>
        <v>001553</v>
      </c>
      <c r="P13" s="6">
        <v>43599</v>
      </c>
      <c r="Q13" s="9">
        <v>7.8768900000000004</v>
      </c>
      <c r="R13" s="9">
        <v>0.62465000000000004</v>
      </c>
      <c r="S13" s="9">
        <v>7.2522399999999996</v>
      </c>
      <c r="T13" s="7">
        <v>49</v>
      </c>
      <c r="U13" s="6">
        <v>43602</v>
      </c>
      <c r="V13" s="7">
        <v>0</v>
      </c>
      <c r="W13" s="8" t="s">
        <v>76</v>
      </c>
      <c r="X13" s="7" t="s">
        <v>30</v>
      </c>
      <c r="Y13" s="8" t="s">
        <v>31</v>
      </c>
      <c r="Z13" s="7" t="s">
        <v>49</v>
      </c>
      <c r="AA13" s="8" t="s">
        <v>50</v>
      </c>
      <c r="AB13" s="9">
        <f t="shared" si="0"/>
        <v>7.8768900000000003E-2</v>
      </c>
    </row>
    <row r="14" spans="1:28" x14ac:dyDescent="0.35">
      <c r="A14" s="4">
        <v>3456</v>
      </c>
      <c r="B14" s="5" t="s">
        <v>32</v>
      </c>
      <c r="C14" s="6">
        <v>43602</v>
      </c>
      <c r="D14" s="7">
        <v>102</v>
      </c>
      <c r="E14" s="8" t="s">
        <v>45</v>
      </c>
      <c r="F14" s="7" t="s">
        <v>77</v>
      </c>
      <c r="G14" s="8" t="s">
        <v>78</v>
      </c>
      <c r="H14" s="7" t="str">
        <f>"000034"</f>
        <v>000034</v>
      </c>
      <c r="I14" s="6">
        <v>42934</v>
      </c>
      <c r="J14" s="7" t="str">
        <f>"000029"</f>
        <v>000029</v>
      </c>
      <c r="K14" s="6">
        <v>42998</v>
      </c>
      <c r="L14" s="7" t="str">
        <f>"000057"</f>
        <v>000057</v>
      </c>
      <c r="M14" s="6">
        <v>42999</v>
      </c>
      <c r="N14" s="7">
        <v>17</v>
      </c>
      <c r="O14" s="7" t="str">
        <f>"001554"</f>
        <v>001554</v>
      </c>
      <c r="P14" s="6">
        <v>43599</v>
      </c>
      <c r="Q14" s="9">
        <v>8.4966899999999992</v>
      </c>
      <c r="R14" s="9">
        <v>0.56569999999999998</v>
      </c>
      <c r="S14" s="9">
        <v>7.9309900000000004</v>
      </c>
      <c r="T14" s="7">
        <v>49</v>
      </c>
      <c r="U14" s="6">
        <v>43602</v>
      </c>
      <c r="V14" s="7">
        <v>0</v>
      </c>
      <c r="W14" s="8" t="s">
        <v>79</v>
      </c>
      <c r="X14" s="7" t="s">
        <v>30</v>
      </c>
      <c r="Y14" s="8" t="s">
        <v>31</v>
      </c>
      <c r="Z14" s="7" t="s">
        <v>49</v>
      </c>
      <c r="AA14" s="8" t="s">
        <v>50</v>
      </c>
      <c r="AB14" s="9">
        <f t="shared" si="0"/>
        <v>8.4966899999999998E-2</v>
      </c>
    </row>
    <row r="15" spans="1:28" x14ac:dyDescent="0.35">
      <c r="A15" s="4">
        <v>3457</v>
      </c>
      <c r="B15" s="5" t="s">
        <v>32</v>
      </c>
      <c r="C15" s="6">
        <v>43609</v>
      </c>
      <c r="D15" s="7">
        <v>102</v>
      </c>
      <c r="E15" s="8" t="s">
        <v>45</v>
      </c>
      <c r="F15" s="7" t="s">
        <v>80</v>
      </c>
      <c r="G15" s="8" t="s">
        <v>81</v>
      </c>
      <c r="H15" s="7" t="str">
        <f>"000391"</f>
        <v>000391</v>
      </c>
      <c r="I15" s="6">
        <v>42731</v>
      </c>
      <c r="J15" s="7" t="str">
        <f>"000042"</f>
        <v>000042</v>
      </c>
      <c r="K15" s="6">
        <v>43036</v>
      </c>
      <c r="L15" s="7" t="str">
        <f>"000086"</f>
        <v>000086</v>
      </c>
      <c r="M15" s="6">
        <v>43038</v>
      </c>
      <c r="N15" s="7">
        <v>17</v>
      </c>
      <c r="O15" s="7" t="str">
        <f>"001933"</f>
        <v>001933</v>
      </c>
      <c r="P15" s="6">
        <v>43607</v>
      </c>
      <c r="Q15" s="9">
        <v>19.735779999999998</v>
      </c>
      <c r="R15" s="9">
        <v>2.8794900000000001</v>
      </c>
      <c r="S15" s="9">
        <v>16.856290000000001</v>
      </c>
      <c r="T15" s="7">
        <v>57</v>
      </c>
      <c r="U15" s="6">
        <v>43609</v>
      </c>
      <c r="V15" s="7">
        <v>9900333496</v>
      </c>
      <c r="W15" s="8" t="s">
        <v>65</v>
      </c>
      <c r="X15" s="7" t="s">
        <v>53</v>
      </c>
      <c r="Y15" s="8" t="s">
        <v>54</v>
      </c>
      <c r="Z15" s="7" t="s">
        <v>49</v>
      </c>
      <c r="AA15" s="8" t="s">
        <v>50</v>
      </c>
      <c r="AB15" s="9">
        <f t="shared" si="0"/>
        <v>0.19735779999999997</v>
      </c>
    </row>
    <row r="16" spans="1:28" x14ac:dyDescent="0.35">
      <c r="A16" s="4">
        <v>3458</v>
      </c>
      <c r="B16" s="5" t="s">
        <v>32</v>
      </c>
      <c r="C16" s="6">
        <v>43615</v>
      </c>
      <c r="D16" s="7">
        <v>102</v>
      </c>
      <c r="E16" s="8" t="s">
        <v>45</v>
      </c>
      <c r="F16" s="7" t="s">
        <v>82</v>
      </c>
      <c r="G16" s="8" t="s">
        <v>83</v>
      </c>
      <c r="H16" s="7" t="str">
        <f>"000093"</f>
        <v>000093</v>
      </c>
      <c r="I16" s="6">
        <v>42913</v>
      </c>
      <c r="J16" s="7" t="str">
        <f>"000041"</f>
        <v>000041</v>
      </c>
      <c r="K16" s="6">
        <v>43035</v>
      </c>
      <c r="L16" s="7" t="str">
        <f>"000088"</f>
        <v>000088</v>
      </c>
      <c r="M16" s="6">
        <v>43038</v>
      </c>
      <c r="N16" s="7">
        <v>17</v>
      </c>
      <c r="O16" s="7" t="str">
        <f>"002110"</f>
        <v>002110</v>
      </c>
      <c r="P16" s="6">
        <v>43613</v>
      </c>
      <c r="Q16" s="9">
        <v>14.859</v>
      </c>
      <c r="R16" s="9">
        <v>2.4872700000000001</v>
      </c>
      <c r="S16" s="9">
        <v>12.371729999999999</v>
      </c>
      <c r="T16" s="7">
        <v>65</v>
      </c>
      <c r="U16" s="6">
        <v>43615</v>
      </c>
      <c r="V16" s="7">
        <v>9900333496</v>
      </c>
      <c r="W16" s="8" t="s">
        <v>48</v>
      </c>
      <c r="X16" s="7" t="s">
        <v>41</v>
      </c>
      <c r="Y16" s="8" t="s">
        <v>42</v>
      </c>
      <c r="Z16" s="7" t="s">
        <v>49</v>
      </c>
      <c r="AA16" s="8" t="s">
        <v>50</v>
      </c>
      <c r="AB16" s="9">
        <f t="shared" si="0"/>
        <v>0.14859</v>
      </c>
    </row>
    <row r="17" spans="1:28" x14ac:dyDescent="0.35">
      <c r="A17" s="4">
        <v>3459</v>
      </c>
      <c r="B17" s="5" t="s">
        <v>32</v>
      </c>
      <c r="C17" s="6">
        <v>43615</v>
      </c>
      <c r="D17" s="7">
        <v>102</v>
      </c>
      <c r="E17" s="8" t="s">
        <v>45</v>
      </c>
      <c r="F17" s="7" t="s">
        <v>84</v>
      </c>
      <c r="G17" s="8" t="s">
        <v>85</v>
      </c>
      <c r="H17" s="7" t="str">
        <f>"000094"</f>
        <v>000094</v>
      </c>
      <c r="I17" s="6">
        <v>42913</v>
      </c>
      <c r="J17" s="7" t="str">
        <f>"000040"</f>
        <v>000040</v>
      </c>
      <c r="K17" s="6">
        <v>43035</v>
      </c>
      <c r="L17" s="7" t="str">
        <f>"000089"</f>
        <v>000089</v>
      </c>
      <c r="M17" s="6">
        <v>43038</v>
      </c>
      <c r="N17" s="7">
        <v>17</v>
      </c>
      <c r="O17" s="7" t="str">
        <f>"002186"</f>
        <v>002186</v>
      </c>
      <c r="P17" s="6">
        <v>43613</v>
      </c>
      <c r="Q17" s="9">
        <v>19.72382</v>
      </c>
      <c r="R17" s="9">
        <v>2.4182999999999999</v>
      </c>
      <c r="S17" s="9">
        <v>17.305520000000001</v>
      </c>
      <c r="T17" s="7">
        <v>65</v>
      </c>
      <c r="U17" s="6">
        <v>43615</v>
      </c>
      <c r="V17" s="7">
        <v>9900333496</v>
      </c>
      <c r="W17" s="8" t="s">
        <v>48</v>
      </c>
      <c r="X17" s="7" t="s">
        <v>41</v>
      </c>
      <c r="Y17" s="8" t="s">
        <v>42</v>
      </c>
      <c r="Z17" s="7" t="s">
        <v>49</v>
      </c>
      <c r="AA17" s="8" t="s">
        <v>50</v>
      </c>
      <c r="AB17" s="9">
        <f t="shared" si="0"/>
        <v>0.1972382</v>
      </c>
    </row>
    <row r="18" spans="1:28" x14ac:dyDescent="0.35">
      <c r="A18" s="4">
        <v>3460</v>
      </c>
      <c r="B18" s="5" t="s">
        <v>29</v>
      </c>
      <c r="C18" s="6">
        <v>43628</v>
      </c>
      <c r="D18" s="7">
        <v>102</v>
      </c>
      <c r="E18" s="8" t="s">
        <v>45</v>
      </c>
      <c r="F18" s="7" t="s">
        <v>86</v>
      </c>
      <c r="G18" s="8" t="s">
        <v>87</v>
      </c>
      <c r="H18" s="7" t="str">
        <f>"000502"</f>
        <v>000502</v>
      </c>
      <c r="I18" s="6">
        <v>42808</v>
      </c>
      <c r="J18" s="7" t="str">
        <f>"000038"</f>
        <v>000038</v>
      </c>
      <c r="K18" s="6">
        <v>43021</v>
      </c>
      <c r="L18" s="7" t="str">
        <f>"000079"</f>
        <v>000079</v>
      </c>
      <c r="M18" s="6">
        <v>43021</v>
      </c>
      <c r="N18" s="7">
        <v>17</v>
      </c>
      <c r="O18" s="7" t="str">
        <f>"002628"</f>
        <v>002628</v>
      </c>
      <c r="P18" s="6">
        <v>43627</v>
      </c>
      <c r="Q18" s="9">
        <v>9.8988899999999997</v>
      </c>
      <c r="R18" s="9">
        <v>1.3827400000000001</v>
      </c>
      <c r="S18" s="9">
        <v>8.5161499999999997</v>
      </c>
      <c r="T18" s="7">
        <v>76</v>
      </c>
      <c r="U18" s="6">
        <v>43628</v>
      </c>
      <c r="V18" s="7">
        <v>9900333496</v>
      </c>
      <c r="W18" s="8" t="s">
        <v>48</v>
      </c>
      <c r="X18" s="7" t="s">
        <v>39</v>
      </c>
      <c r="Y18" s="8" t="s">
        <v>40</v>
      </c>
      <c r="Z18" s="7" t="s">
        <v>49</v>
      </c>
      <c r="AA18" s="8" t="s">
        <v>50</v>
      </c>
      <c r="AB18" s="9">
        <v>9.8988899999999991E-2</v>
      </c>
    </row>
    <row r="19" spans="1:28" x14ac:dyDescent="0.35">
      <c r="A19" s="4">
        <v>3461</v>
      </c>
      <c r="B19" s="5" t="s">
        <v>29</v>
      </c>
      <c r="C19" s="6">
        <v>43628</v>
      </c>
      <c r="D19" s="7">
        <v>102</v>
      </c>
      <c r="E19" s="8" t="s">
        <v>45</v>
      </c>
      <c r="F19" s="7" t="s">
        <v>88</v>
      </c>
      <c r="G19" s="8" t="s">
        <v>89</v>
      </c>
      <c r="H19" s="7" t="str">
        <f>"000501"</f>
        <v>000501</v>
      </c>
      <c r="I19" s="6">
        <v>42808</v>
      </c>
      <c r="J19" s="7" t="str">
        <f>"000037"</f>
        <v>000037</v>
      </c>
      <c r="K19" s="6">
        <v>43021</v>
      </c>
      <c r="L19" s="7" t="str">
        <f>"000080"</f>
        <v>000080</v>
      </c>
      <c r="M19" s="6">
        <v>43021</v>
      </c>
      <c r="N19" s="7">
        <v>17</v>
      </c>
      <c r="O19" s="7" t="str">
        <f>"002630"</f>
        <v>002630</v>
      </c>
      <c r="P19" s="6">
        <v>43627</v>
      </c>
      <c r="Q19" s="9">
        <v>9.8678799999999995</v>
      </c>
      <c r="R19" s="9">
        <v>1.3870800000000001</v>
      </c>
      <c r="S19" s="9">
        <v>8.4808000000000003</v>
      </c>
      <c r="T19" s="7">
        <v>76</v>
      </c>
      <c r="U19" s="6">
        <v>43628</v>
      </c>
      <c r="V19" s="7">
        <v>9900333496</v>
      </c>
      <c r="W19" s="8" t="s">
        <v>48</v>
      </c>
      <c r="X19" s="7" t="s">
        <v>39</v>
      </c>
      <c r="Y19" s="8" t="s">
        <v>40</v>
      </c>
      <c r="Z19" s="7" t="s">
        <v>49</v>
      </c>
      <c r="AA19" s="8" t="s">
        <v>50</v>
      </c>
      <c r="AB19" s="9">
        <v>9.8678799999999997E-2</v>
      </c>
    </row>
    <row r="20" spans="1:28" x14ac:dyDescent="0.35">
      <c r="A20" s="4">
        <v>3462</v>
      </c>
      <c r="B20" s="5" t="s">
        <v>29</v>
      </c>
      <c r="C20" s="6">
        <v>43629</v>
      </c>
      <c r="D20" s="7">
        <v>102</v>
      </c>
      <c r="E20" s="8" t="s">
        <v>45</v>
      </c>
      <c r="F20" s="7" t="s">
        <v>90</v>
      </c>
      <c r="G20" s="8" t="s">
        <v>91</v>
      </c>
      <c r="H20" s="7" t="str">
        <f>"000450"</f>
        <v>000450</v>
      </c>
      <c r="I20" s="6">
        <v>43543</v>
      </c>
      <c r="J20" s="7" t="str">
        <f>"000005"</f>
        <v>000005</v>
      </c>
      <c r="K20" s="6">
        <v>43589</v>
      </c>
      <c r="L20" s="7" t="str">
        <f>"000021"</f>
        <v>000021</v>
      </c>
      <c r="M20" s="6">
        <v>43591</v>
      </c>
      <c r="N20" s="7">
        <v>19</v>
      </c>
      <c r="O20" s="7" t="str">
        <f>"002543"</f>
        <v>002543</v>
      </c>
      <c r="P20" s="6">
        <v>43623</v>
      </c>
      <c r="Q20" s="9">
        <v>34.341270000000002</v>
      </c>
      <c r="R20" s="9">
        <v>4.2545000000000002</v>
      </c>
      <c r="S20" s="9">
        <v>30.086770000000001</v>
      </c>
      <c r="T20" s="7">
        <v>81</v>
      </c>
      <c r="U20" s="6">
        <v>43629</v>
      </c>
      <c r="V20" s="7">
        <v>9900333496</v>
      </c>
      <c r="W20" s="8" t="s">
        <v>48</v>
      </c>
      <c r="X20" s="7" t="s">
        <v>37</v>
      </c>
      <c r="Y20" s="8" t="s">
        <v>38</v>
      </c>
      <c r="Z20" s="7" t="s">
        <v>49</v>
      </c>
      <c r="AA20" s="8" t="s">
        <v>50</v>
      </c>
      <c r="AB20" s="9">
        <v>0.34341270000000002</v>
      </c>
    </row>
    <row r="21" spans="1:28" x14ac:dyDescent="0.35">
      <c r="A21" s="4">
        <v>3463</v>
      </c>
      <c r="B21" s="5" t="s">
        <v>29</v>
      </c>
      <c r="C21" s="6">
        <v>43629</v>
      </c>
      <c r="D21" s="7">
        <v>102</v>
      </c>
      <c r="E21" s="8" t="s">
        <v>45</v>
      </c>
      <c r="F21" s="7" t="s">
        <v>92</v>
      </c>
      <c r="G21" s="8" t="s">
        <v>93</v>
      </c>
      <c r="H21" s="7" t="str">
        <f>"000452"</f>
        <v>000452</v>
      </c>
      <c r="I21" s="6">
        <v>43543</v>
      </c>
      <c r="J21" s="7" t="str">
        <f>"000004"</f>
        <v>000004</v>
      </c>
      <c r="K21" s="6">
        <v>43589</v>
      </c>
      <c r="L21" s="7" t="str">
        <f>"000020"</f>
        <v>000020</v>
      </c>
      <c r="M21" s="6">
        <v>43591</v>
      </c>
      <c r="N21" s="7">
        <v>19</v>
      </c>
      <c r="O21" s="7" t="str">
        <f>"002544"</f>
        <v>002544</v>
      </c>
      <c r="P21" s="6">
        <v>43623</v>
      </c>
      <c r="Q21" s="9">
        <v>48.884729999999998</v>
      </c>
      <c r="R21" s="9">
        <v>5.9378700000000002</v>
      </c>
      <c r="S21" s="9">
        <v>42.946860000000001</v>
      </c>
      <c r="T21" s="7">
        <v>81</v>
      </c>
      <c r="U21" s="6">
        <v>43629</v>
      </c>
      <c r="V21" s="7">
        <v>9900333496</v>
      </c>
      <c r="W21" s="8" t="s">
        <v>48</v>
      </c>
      <c r="X21" s="7" t="s">
        <v>37</v>
      </c>
      <c r="Y21" s="8" t="s">
        <v>38</v>
      </c>
      <c r="Z21" s="7" t="s">
        <v>49</v>
      </c>
      <c r="AA21" s="8" t="s">
        <v>50</v>
      </c>
      <c r="AB21" s="9">
        <v>0.48884729999999998</v>
      </c>
    </row>
    <row r="22" spans="1:28" x14ac:dyDescent="0.35">
      <c r="A22" s="4">
        <v>3464</v>
      </c>
      <c r="B22" s="5" t="s">
        <v>29</v>
      </c>
      <c r="C22" s="6">
        <v>43633</v>
      </c>
      <c r="D22" s="7">
        <v>102</v>
      </c>
      <c r="E22" s="8" t="s">
        <v>45</v>
      </c>
      <c r="F22" s="7" t="s">
        <v>94</v>
      </c>
      <c r="G22" s="8" t="s">
        <v>95</v>
      </c>
      <c r="H22" s="7" t="str">
        <f>"000448"</f>
        <v>000448</v>
      </c>
      <c r="I22" s="6">
        <v>43543</v>
      </c>
      <c r="J22" s="7" t="str">
        <f>"000006"</f>
        <v>000006</v>
      </c>
      <c r="K22" s="6">
        <v>43589</v>
      </c>
      <c r="L22" s="7" t="str">
        <f>"000019"</f>
        <v>000019</v>
      </c>
      <c r="M22" s="6">
        <v>43591</v>
      </c>
      <c r="N22" s="7">
        <v>19</v>
      </c>
      <c r="O22" s="7" t="str">
        <f>"002750"</f>
        <v>002750</v>
      </c>
      <c r="P22" s="6">
        <v>43630</v>
      </c>
      <c r="Q22" s="9">
        <v>14.664849999999999</v>
      </c>
      <c r="R22" s="9">
        <v>1.7453799999999999</v>
      </c>
      <c r="S22" s="9">
        <v>12.91947</v>
      </c>
      <c r="T22" s="7">
        <v>84</v>
      </c>
      <c r="U22" s="6">
        <v>43633</v>
      </c>
      <c r="V22" s="7">
        <v>9900333496</v>
      </c>
      <c r="W22" s="8" t="s">
        <v>48</v>
      </c>
      <c r="X22" s="7" t="s">
        <v>35</v>
      </c>
      <c r="Y22" s="8" t="s">
        <v>36</v>
      </c>
      <c r="Z22" s="7" t="s">
        <v>49</v>
      </c>
      <c r="AA22" s="8" t="s">
        <v>50</v>
      </c>
      <c r="AB22" s="9">
        <v>0.14664849999999999</v>
      </c>
    </row>
    <row r="23" spans="1:28" x14ac:dyDescent="0.35">
      <c r="A23" s="4">
        <v>3465</v>
      </c>
      <c r="B23" s="5" t="s">
        <v>29</v>
      </c>
      <c r="C23" s="6">
        <v>43636</v>
      </c>
      <c r="D23" s="7">
        <v>102</v>
      </c>
      <c r="E23" s="8" t="s">
        <v>45</v>
      </c>
      <c r="F23" s="7" t="s">
        <v>96</v>
      </c>
      <c r="G23" s="8" t="s">
        <v>97</v>
      </c>
      <c r="H23" s="7" t="str">
        <f>"000096"</f>
        <v>000096</v>
      </c>
      <c r="I23" s="6">
        <v>42913</v>
      </c>
      <c r="J23" s="7" t="str">
        <f>"000065"</f>
        <v>000065</v>
      </c>
      <c r="K23" s="6">
        <v>43098</v>
      </c>
      <c r="L23" s="7" t="str">
        <f>"000151"</f>
        <v>000151</v>
      </c>
      <c r="M23" s="6">
        <v>43099</v>
      </c>
      <c r="N23" s="7">
        <v>17</v>
      </c>
      <c r="O23" s="7" t="str">
        <f>"002794"</f>
        <v>002794</v>
      </c>
      <c r="P23" s="6">
        <v>43633</v>
      </c>
      <c r="Q23" s="9">
        <v>24.711939999999998</v>
      </c>
      <c r="R23" s="9">
        <v>3.02915</v>
      </c>
      <c r="S23" s="9">
        <v>21.682790000000001</v>
      </c>
      <c r="T23" s="7">
        <v>89</v>
      </c>
      <c r="U23" s="6">
        <v>43636</v>
      </c>
      <c r="V23" s="7">
        <v>9900333496</v>
      </c>
      <c r="W23" s="8" t="s">
        <v>48</v>
      </c>
      <c r="X23" s="7" t="s">
        <v>41</v>
      </c>
      <c r="Y23" s="8" t="s">
        <v>42</v>
      </c>
      <c r="Z23" s="7" t="s">
        <v>49</v>
      </c>
      <c r="AA23" s="8" t="s">
        <v>50</v>
      </c>
      <c r="AB23" s="9">
        <v>0.24711939999999999</v>
      </c>
    </row>
    <row r="24" spans="1:28" x14ac:dyDescent="0.35">
      <c r="A24" s="4">
        <v>3466</v>
      </c>
      <c r="B24" s="5" t="s">
        <v>29</v>
      </c>
      <c r="C24" s="6">
        <v>43644</v>
      </c>
      <c r="D24" s="7">
        <v>102</v>
      </c>
      <c r="E24" s="8" t="s">
        <v>45</v>
      </c>
      <c r="F24" s="7" t="s">
        <v>98</v>
      </c>
      <c r="G24" s="8" t="s">
        <v>99</v>
      </c>
      <c r="H24" s="7" t="str">
        <f>"000445"</f>
        <v>000445</v>
      </c>
      <c r="I24" s="6">
        <v>43543</v>
      </c>
      <c r="J24" s="7" t="str">
        <f>"000050"</f>
        <v>000050</v>
      </c>
      <c r="K24" s="6">
        <v>43629</v>
      </c>
      <c r="L24" s="7" t="str">
        <f>"000127"</f>
        <v>000127</v>
      </c>
      <c r="M24" s="6">
        <v>43629</v>
      </c>
      <c r="N24" s="7">
        <v>19</v>
      </c>
      <c r="O24" s="7" t="str">
        <f>"002886"</f>
        <v>002886</v>
      </c>
      <c r="P24" s="6">
        <v>43636</v>
      </c>
      <c r="Q24" s="9">
        <v>19.79928</v>
      </c>
      <c r="R24" s="9">
        <v>2.3302299999999998</v>
      </c>
      <c r="S24" s="9">
        <v>17.469049999999999</v>
      </c>
      <c r="T24" s="7">
        <v>95</v>
      </c>
      <c r="U24" s="6">
        <v>43644</v>
      </c>
      <c r="V24" s="7">
        <v>9900333496</v>
      </c>
      <c r="W24" s="8" t="s">
        <v>48</v>
      </c>
      <c r="X24" s="7" t="s">
        <v>37</v>
      </c>
      <c r="Y24" s="8" t="s">
        <v>38</v>
      </c>
      <c r="Z24" s="7" t="s">
        <v>49</v>
      </c>
      <c r="AA24" s="8" t="s">
        <v>50</v>
      </c>
      <c r="AB24" s="9">
        <v>0.1979928</v>
      </c>
    </row>
    <row r="25" spans="1:28" x14ac:dyDescent="0.35">
      <c r="A25" s="4">
        <v>3467</v>
      </c>
      <c r="B25" s="5" t="s">
        <v>100</v>
      </c>
      <c r="C25" s="6">
        <v>43654</v>
      </c>
      <c r="D25" s="7">
        <v>102</v>
      </c>
      <c r="E25" s="8" t="s">
        <v>45</v>
      </c>
      <c r="F25" s="7" t="s">
        <v>101</v>
      </c>
      <c r="G25" s="10" t="s">
        <v>102</v>
      </c>
      <c r="H25" s="7" t="str">
        <f>"000389"</f>
        <v>000389</v>
      </c>
      <c r="I25" s="6">
        <v>42731</v>
      </c>
      <c r="J25" s="7" t="str">
        <f>"000131"</f>
        <v>000131</v>
      </c>
      <c r="K25" s="6">
        <v>42916</v>
      </c>
      <c r="L25" s="7" t="str">
        <f>"000352"</f>
        <v>000352</v>
      </c>
      <c r="M25" s="6">
        <v>42916</v>
      </c>
      <c r="N25" s="7">
        <v>17</v>
      </c>
      <c r="O25" s="7" t="str">
        <f>"003330"</f>
        <v>003330</v>
      </c>
      <c r="P25" s="6">
        <v>43650</v>
      </c>
      <c r="Q25" s="11">
        <v>24.745509999999999</v>
      </c>
      <c r="R25" s="11">
        <v>3.6758000000000002</v>
      </c>
      <c r="S25" s="11">
        <v>21.069710000000001</v>
      </c>
      <c r="T25" s="7">
        <v>108</v>
      </c>
      <c r="U25" s="6">
        <v>43654</v>
      </c>
      <c r="V25" s="7">
        <v>9900333496</v>
      </c>
      <c r="W25" s="10" t="s">
        <v>48</v>
      </c>
      <c r="X25" s="7" t="s">
        <v>53</v>
      </c>
      <c r="Y25" s="10" t="s">
        <v>54</v>
      </c>
      <c r="Z25" s="7" t="s">
        <v>49</v>
      </c>
      <c r="AA25" s="10" t="s">
        <v>50</v>
      </c>
      <c r="AB25" s="11">
        <f t="shared" ref="AB25:AB44" si="1">Q25/100</f>
        <v>0.24745509999999998</v>
      </c>
    </row>
    <row r="26" spans="1:28" x14ac:dyDescent="0.35">
      <c r="A26" s="4">
        <v>3468</v>
      </c>
      <c r="B26" s="5" t="s">
        <v>100</v>
      </c>
      <c r="C26" s="6">
        <v>43654</v>
      </c>
      <c r="D26" s="7">
        <v>102</v>
      </c>
      <c r="E26" s="8" t="s">
        <v>45</v>
      </c>
      <c r="F26" s="7" t="s">
        <v>103</v>
      </c>
      <c r="G26" s="10" t="s">
        <v>104</v>
      </c>
      <c r="H26" s="7" t="str">
        <f>"000290"</f>
        <v>000290</v>
      </c>
      <c r="I26" s="6">
        <v>42627</v>
      </c>
      <c r="J26" s="7" t="str">
        <f>"000129"</f>
        <v>000129</v>
      </c>
      <c r="K26" s="6">
        <v>42916</v>
      </c>
      <c r="L26" s="7" t="str">
        <f>"000353"</f>
        <v>000353</v>
      </c>
      <c r="M26" s="6">
        <v>42916</v>
      </c>
      <c r="N26" s="7">
        <v>17</v>
      </c>
      <c r="O26" s="7" t="str">
        <f>"003331"</f>
        <v>003331</v>
      </c>
      <c r="P26" s="6">
        <v>43650</v>
      </c>
      <c r="Q26" s="11">
        <v>19.807410000000001</v>
      </c>
      <c r="R26" s="11">
        <v>2.7803499999999999</v>
      </c>
      <c r="S26" s="11">
        <v>17.027059999999999</v>
      </c>
      <c r="T26" s="7">
        <v>108</v>
      </c>
      <c r="U26" s="6">
        <v>43654</v>
      </c>
      <c r="V26" s="7">
        <v>9900333496</v>
      </c>
      <c r="W26" s="10" t="s">
        <v>48</v>
      </c>
      <c r="X26" s="7" t="s">
        <v>105</v>
      </c>
      <c r="Y26" s="10" t="s">
        <v>106</v>
      </c>
      <c r="Z26" s="7" t="s">
        <v>49</v>
      </c>
      <c r="AA26" s="10" t="s">
        <v>50</v>
      </c>
      <c r="AB26" s="11">
        <f t="shared" si="1"/>
        <v>0.1980741</v>
      </c>
    </row>
    <row r="27" spans="1:28" x14ac:dyDescent="0.35">
      <c r="A27" s="4">
        <v>3469</v>
      </c>
      <c r="B27" s="5" t="s">
        <v>100</v>
      </c>
      <c r="C27" s="6">
        <v>43654</v>
      </c>
      <c r="D27" s="7">
        <v>102</v>
      </c>
      <c r="E27" s="8" t="s">
        <v>45</v>
      </c>
      <c r="F27" s="7" t="s">
        <v>107</v>
      </c>
      <c r="G27" s="10" t="s">
        <v>108</v>
      </c>
      <c r="H27" s="7" t="str">
        <f>"000095"</f>
        <v>000095</v>
      </c>
      <c r="I27" s="6">
        <v>42913</v>
      </c>
      <c r="J27" s="7" t="str">
        <f>"000064"</f>
        <v>000064</v>
      </c>
      <c r="K27" s="6">
        <v>43098</v>
      </c>
      <c r="L27" s="7" t="str">
        <f>"000149"</f>
        <v>000149</v>
      </c>
      <c r="M27" s="6">
        <v>43099</v>
      </c>
      <c r="N27" s="7">
        <v>17</v>
      </c>
      <c r="O27" s="7" t="str">
        <f>"003333"</f>
        <v>003333</v>
      </c>
      <c r="P27" s="6">
        <v>43650</v>
      </c>
      <c r="Q27" s="11">
        <v>14.85736</v>
      </c>
      <c r="R27" s="11">
        <v>1.7917400000000001</v>
      </c>
      <c r="S27" s="11">
        <v>13.065619999999999</v>
      </c>
      <c r="T27" s="7">
        <v>108</v>
      </c>
      <c r="U27" s="6">
        <v>43654</v>
      </c>
      <c r="V27" s="7">
        <v>9900333496</v>
      </c>
      <c r="W27" s="10" t="s">
        <v>48</v>
      </c>
      <c r="X27" s="7" t="s">
        <v>41</v>
      </c>
      <c r="Y27" s="10" t="s">
        <v>42</v>
      </c>
      <c r="Z27" s="7" t="s">
        <v>49</v>
      </c>
      <c r="AA27" s="10" t="s">
        <v>50</v>
      </c>
      <c r="AB27" s="11">
        <f t="shared" si="1"/>
        <v>0.1485736</v>
      </c>
    </row>
    <row r="28" spans="1:28" x14ac:dyDescent="0.35">
      <c r="A28" s="4">
        <v>3470</v>
      </c>
      <c r="B28" s="5" t="s">
        <v>100</v>
      </c>
      <c r="C28" s="6">
        <v>43654</v>
      </c>
      <c r="D28" s="7">
        <v>102</v>
      </c>
      <c r="E28" s="8" t="s">
        <v>45</v>
      </c>
      <c r="F28" s="7" t="s">
        <v>109</v>
      </c>
      <c r="G28" s="10" t="s">
        <v>110</v>
      </c>
      <c r="H28" s="7" t="str">
        <f>"000289"</f>
        <v>000289</v>
      </c>
      <c r="I28" s="6">
        <v>42627</v>
      </c>
      <c r="J28" s="7" t="str">
        <f>"000063"</f>
        <v>000063</v>
      </c>
      <c r="K28" s="6">
        <v>43098</v>
      </c>
      <c r="L28" s="7" t="str">
        <f>"000150"</f>
        <v>000150</v>
      </c>
      <c r="M28" s="6">
        <v>43099</v>
      </c>
      <c r="N28" s="7">
        <v>17</v>
      </c>
      <c r="O28" s="7" t="str">
        <f>"003334"</f>
        <v>003334</v>
      </c>
      <c r="P28" s="6">
        <v>43650</v>
      </c>
      <c r="Q28" s="11">
        <v>19.818100000000001</v>
      </c>
      <c r="R28" s="11">
        <v>2.40015</v>
      </c>
      <c r="S28" s="11">
        <v>17.417950000000001</v>
      </c>
      <c r="T28" s="7">
        <v>108</v>
      </c>
      <c r="U28" s="6">
        <v>43654</v>
      </c>
      <c r="V28" s="7">
        <v>9900333496</v>
      </c>
      <c r="W28" s="10" t="s">
        <v>111</v>
      </c>
      <c r="X28" s="7" t="s">
        <v>105</v>
      </c>
      <c r="Y28" s="10" t="s">
        <v>106</v>
      </c>
      <c r="Z28" s="7" t="s">
        <v>49</v>
      </c>
      <c r="AA28" s="10" t="s">
        <v>50</v>
      </c>
      <c r="AB28" s="11">
        <f t="shared" si="1"/>
        <v>0.19818100000000002</v>
      </c>
    </row>
    <row r="29" spans="1:28" x14ac:dyDescent="0.35">
      <c r="A29" s="4">
        <v>3471</v>
      </c>
      <c r="B29" s="5" t="s">
        <v>100</v>
      </c>
      <c r="C29" s="6">
        <v>43665</v>
      </c>
      <c r="D29" s="7">
        <v>102</v>
      </c>
      <c r="E29" s="8" t="s">
        <v>45</v>
      </c>
      <c r="F29" s="7" t="s">
        <v>112</v>
      </c>
      <c r="G29" s="10" t="s">
        <v>113</v>
      </c>
      <c r="H29" s="7" t="str">
        <f>"000223"</f>
        <v>000223</v>
      </c>
      <c r="I29" s="6">
        <v>43459</v>
      </c>
      <c r="J29" s="7" t="str">
        <f>"000082"</f>
        <v>000082</v>
      </c>
      <c r="K29" s="6">
        <v>43703</v>
      </c>
      <c r="L29" s="7" t="str">
        <f>"000240"</f>
        <v>000240</v>
      </c>
      <c r="M29" s="6">
        <v>43719</v>
      </c>
      <c r="N29" s="7">
        <v>19</v>
      </c>
      <c r="O29" s="7" t="str">
        <f>""</f>
        <v/>
      </c>
      <c r="P29" s="7"/>
      <c r="Q29" s="11">
        <v>14.74259</v>
      </c>
      <c r="R29" s="11">
        <v>1.79348</v>
      </c>
      <c r="S29" s="11">
        <v>12.949109999999999</v>
      </c>
      <c r="T29" s="7">
        <v>117</v>
      </c>
      <c r="U29" s="6">
        <v>43665</v>
      </c>
      <c r="V29" s="7">
        <v>9900333496</v>
      </c>
      <c r="W29" s="10" t="s">
        <v>48</v>
      </c>
      <c r="X29" s="7" t="s">
        <v>35</v>
      </c>
      <c r="Y29" s="10" t="s">
        <v>36</v>
      </c>
      <c r="Z29" s="7" t="s">
        <v>49</v>
      </c>
      <c r="AA29" s="10" t="s">
        <v>50</v>
      </c>
      <c r="AB29" s="11">
        <f t="shared" si="1"/>
        <v>0.1474259</v>
      </c>
    </row>
    <row r="30" spans="1:28" x14ac:dyDescent="0.35">
      <c r="A30" s="4">
        <v>3472</v>
      </c>
      <c r="B30" s="5" t="s">
        <v>114</v>
      </c>
      <c r="C30" s="6">
        <v>43680</v>
      </c>
      <c r="D30" s="7">
        <v>102</v>
      </c>
      <c r="E30" s="8" t="s">
        <v>45</v>
      </c>
      <c r="F30" s="7" t="s">
        <v>115</v>
      </c>
      <c r="G30" s="10" t="s">
        <v>116</v>
      </c>
      <c r="H30" s="7" t="str">
        <f>"000451"</f>
        <v>000451</v>
      </c>
      <c r="I30" s="6">
        <v>43543</v>
      </c>
      <c r="J30" s="7" t="str">
        <f>"000049"</f>
        <v>000049</v>
      </c>
      <c r="K30" s="6">
        <v>43622</v>
      </c>
      <c r="L30" s="7" t="str">
        <f>"000120"</f>
        <v>000120</v>
      </c>
      <c r="M30" s="6">
        <v>43626</v>
      </c>
      <c r="N30" s="7">
        <v>19</v>
      </c>
      <c r="O30" s="7" t="str">
        <f>"004163"</f>
        <v>004163</v>
      </c>
      <c r="P30" s="6">
        <v>43678</v>
      </c>
      <c r="Q30" s="11">
        <v>14.027950000000001</v>
      </c>
      <c r="R30" s="11">
        <v>1.67465</v>
      </c>
      <c r="S30" s="11">
        <v>12.353300000000001</v>
      </c>
      <c r="T30" s="7">
        <v>142</v>
      </c>
      <c r="U30" s="6">
        <v>43680</v>
      </c>
      <c r="V30" s="7">
        <v>9900333496</v>
      </c>
      <c r="W30" s="10" t="s">
        <v>48</v>
      </c>
      <c r="X30" s="7" t="s">
        <v>37</v>
      </c>
      <c r="Y30" s="10" t="s">
        <v>38</v>
      </c>
      <c r="Z30" s="7" t="s">
        <v>49</v>
      </c>
      <c r="AA30" s="10" t="s">
        <v>50</v>
      </c>
      <c r="AB30" s="11">
        <f t="shared" si="1"/>
        <v>0.1402795</v>
      </c>
    </row>
    <row r="31" spans="1:28" x14ac:dyDescent="0.35">
      <c r="A31" s="4">
        <v>3473</v>
      </c>
      <c r="B31" s="5" t="s">
        <v>114</v>
      </c>
      <c r="C31" s="6">
        <v>43696</v>
      </c>
      <c r="D31" s="7">
        <v>102</v>
      </c>
      <c r="E31" s="8" t="s">
        <v>45</v>
      </c>
      <c r="F31" s="7" t="s">
        <v>117</v>
      </c>
      <c r="G31" s="10" t="s">
        <v>118</v>
      </c>
      <c r="H31" s="7" t="str">
        <f>"000170"</f>
        <v>000170</v>
      </c>
      <c r="I31" s="6">
        <v>43146</v>
      </c>
      <c r="J31" s="7" t="str">
        <f>"000109"</f>
        <v>000109</v>
      </c>
      <c r="K31" s="6">
        <v>43174</v>
      </c>
      <c r="L31" s="7" t="str">
        <f>"000250"</f>
        <v>000250</v>
      </c>
      <c r="M31" s="6">
        <v>43174</v>
      </c>
      <c r="N31" s="7">
        <v>18</v>
      </c>
      <c r="O31" s="7" t="str">
        <f>"004460"</f>
        <v>004460</v>
      </c>
      <c r="P31" s="6">
        <v>43691</v>
      </c>
      <c r="Q31" s="11">
        <v>19.945630000000001</v>
      </c>
      <c r="R31" s="11">
        <v>2.3170500000000001</v>
      </c>
      <c r="S31" s="11">
        <v>17.628579999999999</v>
      </c>
      <c r="T31" s="7">
        <v>158</v>
      </c>
      <c r="U31" s="6">
        <v>43696</v>
      </c>
      <c r="V31" s="7">
        <v>9900333496</v>
      </c>
      <c r="W31" s="10" t="s">
        <v>48</v>
      </c>
      <c r="X31" s="7" t="s">
        <v>119</v>
      </c>
      <c r="Y31" s="10" t="s">
        <v>120</v>
      </c>
      <c r="Z31" s="7" t="s">
        <v>49</v>
      </c>
      <c r="AA31" s="10" t="s">
        <v>50</v>
      </c>
      <c r="AB31" s="11">
        <f t="shared" si="1"/>
        <v>0.1994563</v>
      </c>
    </row>
    <row r="32" spans="1:28" x14ac:dyDescent="0.35">
      <c r="A32" s="4">
        <v>3474</v>
      </c>
      <c r="B32" s="5" t="s">
        <v>114</v>
      </c>
      <c r="C32" s="6">
        <v>43696</v>
      </c>
      <c r="D32" s="7">
        <v>102</v>
      </c>
      <c r="E32" s="8" t="s">
        <v>45</v>
      </c>
      <c r="F32" s="7" t="s">
        <v>121</v>
      </c>
      <c r="G32" s="10" t="s">
        <v>122</v>
      </c>
      <c r="H32" s="7" t="str">
        <f>"000178"</f>
        <v>000178</v>
      </c>
      <c r="I32" s="6">
        <v>43147</v>
      </c>
      <c r="J32" s="7" t="str">
        <f>"000111"</f>
        <v>000111</v>
      </c>
      <c r="K32" s="6">
        <v>43174</v>
      </c>
      <c r="L32" s="7" t="str">
        <f>"000252"</f>
        <v>000252</v>
      </c>
      <c r="M32" s="6">
        <v>43174</v>
      </c>
      <c r="N32" s="7">
        <v>18</v>
      </c>
      <c r="O32" s="7" t="str">
        <f>"004461"</f>
        <v>004461</v>
      </c>
      <c r="P32" s="6">
        <v>43691</v>
      </c>
      <c r="Q32" s="11">
        <v>19.981580000000001</v>
      </c>
      <c r="R32" s="11">
        <v>2.4263699999999999</v>
      </c>
      <c r="S32" s="11">
        <v>17.555209999999999</v>
      </c>
      <c r="T32" s="7">
        <v>158</v>
      </c>
      <c r="U32" s="6">
        <v>43696</v>
      </c>
      <c r="V32" s="7">
        <v>9900333496</v>
      </c>
      <c r="W32" s="10" t="s">
        <v>48</v>
      </c>
      <c r="X32" s="7" t="s">
        <v>119</v>
      </c>
      <c r="Y32" s="10" t="s">
        <v>120</v>
      </c>
      <c r="Z32" s="7" t="s">
        <v>49</v>
      </c>
      <c r="AA32" s="10" t="s">
        <v>50</v>
      </c>
      <c r="AB32" s="11">
        <f t="shared" si="1"/>
        <v>0.19981580000000002</v>
      </c>
    </row>
    <row r="33" spans="1:28" x14ac:dyDescent="0.35">
      <c r="A33" s="4">
        <v>3475</v>
      </c>
      <c r="B33" s="5" t="s">
        <v>114</v>
      </c>
      <c r="C33" s="6">
        <v>43696</v>
      </c>
      <c r="D33" s="7">
        <v>102</v>
      </c>
      <c r="E33" s="8" t="s">
        <v>45</v>
      </c>
      <c r="F33" s="7" t="s">
        <v>123</v>
      </c>
      <c r="G33" s="10" t="s">
        <v>124</v>
      </c>
      <c r="H33" s="7" t="str">
        <f>"000172"</f>
        <v>000172</v>
      </c>
      <c r="I33" s="6">
        <v>43146</v>
      </c>
      <c r="J33" s="7" t="str">
        <f>"000112"</f>
        <v>000112</v>
      </c>
      <c r="K33" s="6">
        <v>43174</v>
      </c>
      <c r="L33" s="7" t="str">
        <f>"000253"</f>
        <v>000253</v>
      </c>
      <c r="M33" s="6">
        <v>43174</v>
      </c>
      <c r="N33" s="7">
        <v>18</v>
      </c>
      <c r="O33" s="7" t="str">
        <f>"004462"</f>
        <v>004462</v>
      </c>
      <c r="P33" s="6">
        <v>43691</v>
      </c>
      <c r="Q33" s="11">
        <v>19.9604</v>
      </c>
      <c r="R33" s="11">
        <v>2.3515600000000001</v>
      </c>
      <c r="S33" s="11">
        <v>17.608840000000001</v>
      </c>
      <c r="T33" s="7">
        <v>158</v>
      </c>
      <c r="U33" s="6">
        <v>43696</v>
      </c>
      <c r="V33" s="7">
        <v>9900333496</v>
      </c>
      <c r="W33" s="10" t="s">
        <v>48</v>
      </c>
      <c r="X33" s="7" t="s">
        <v>125</v>
      </c>
      <c r="Y33" s="10" t="s">
        <v>126</v>
      </c>
      <c r="Z33" s="7" t="s">
        <v>49</v>
      </c>
      <c r="AA33" s="10" t="s">
        <v>50</v>
      </c>
      <c r="AB33" s="11">
        <f t="shared" si="1"/>
        <v>0.199604</v>
      </c>
    </row>
    <row r="34" spans="1:28" x14ac:dyDescent="0.35">
      <c r="A34" s="4">
        <v>3476</v>
      </c>
      <c r="B34" s="5" t="s">
        <v>114</v>
      </c>
      <c r="C34" s="6">
        <v>43696</v>
      </c>
      <c r="D34" s="7">
        <v>102</v>
      </c>
      <c r="E34" s="8" t="s">
        <v>45</v>
      </c>
      <c r="F34" s="7" t="s">
        <v>127</v>
      </c>
      <c r="G34" s="10" t="s">
        <v>128</v>
      </c>
      <c r="H34" s="7" t="str">
        <f>"000171"</f>
        <v>000171</v>
      </c>
      <c r="I34" s="6">
        <v>43146</v>
      </c>
      <c r="J34" s="7" t="str">
        <f>"000113"</f>
        <v>000113</v>
      </c>
      <c r="K34" s="6">
        <v>43174</v>
      </c>
      <c r="L34" s="7" t="str">
        <f>"000254"</f>
        <v>000254</v>
      </c>
      <c r="M34" s="6">
        <v>43174</v>
      </c>
      <c r="N34" s="7">
        <v>18</v>
      </c>
      <c r="O34" s="7" t="str">
        <f>"004463"</f>
        <v>004463</v>
      </c>
      <c r="P34" s="6">
        <v>43691</v>
      </c>
      <c r="Q34" s="11">
        <v>14.977550000000001</v>
      </c>
      <c r="R34" s="11">
        <v>1.8130599999999999</v>
      </c>
      <c r="S34" s="11">
        <v>13.164490000000001</v>
      </c>
      <c r="T34" s="7">
        <v>158</v>
      </c>
      <c r="U34" s="6">
        <v>43696</v>
      </c>
      <c r="V34" s="7">
        <v>9900333496</v>
      </c>
      <c r="W34" s="10" t="s">
        <v>48</v>
      </c>
      <c r="X34" s="7" t="s">
        <v>119</v>
      </c>
      <c r="Y34" s="10" t="s">
        <v>120</v>
      </c>
      <c r="Z34" s="7" t="s">
        <v>49</v>
      </c>
      <c r="AA34" s="10" t="s">
        <v>50</v>
      </c>
      <c r="AB34" s="11">
        <f t="shared" si="1"/>
        <v>0.14977550000000001</v>
      </c>
    </row>
    <row r="35" spans="1:28" x14ac:dyDescent="0.35">
      <c r="A35" s="4">
        <v>3477</v>
      </c>
      <c r="B35" s="5" t="s">
        <v>114</v>
      </c>
      <c r="C35" s="6">
        <v>43705</v>
      </c>
      <c r="D35" s="7">
        <v>102</v>
      </c>
      <c r="E35" s="8" t="s">
        <v>45</v>
      </c>
      <c r="F35" s="7" t="s">
        <v>129</v>
      </c>
      <c r="G35" s="10" t="s">
        <v>130</v>
      </c>
      <c r="H35" s="7" t="str">
        <f>"000344"</f>
        <v>000344</v>
      </c>
      <c r="I35" s="6">
        <v>43532</v>
      </c>
      <c r="J35" s="7" t="str">
        <f>"000030"</f>
        <v>000030</v>
      </c>
      <c r="K35" s="6">
        <v>43607</v>
      </c>
      <c r="L35" s="7" t="str">
        <f>"000086"</f>
        <v>000086</v>
      </c>
      <c r="M35" s="6">
        <v>43608</v>
      </c>
      <c r="N35" s="7">
        <v>19</v>
      </c>
      <c r="O35" s="7" t="str">
        <f>"004783"</f>
        <v>004783</v>
      </c>
      <c r="P35" s="6">
        <v>43704</v>
      </c>
      <c r="Q35" s="11">
        <v>97.446020000000004</v>
      </c>
      <c r="R35" s="11">
        <v>12.31293</v>
      </c>
      <c r="S35" s="11">
        <v>85.133089999999996</v>
      </c>
      <c r="T35" s="7">
        <v>170</v>
      </c>
      <c r="U35" s="6">
        <v>43705</v>
      </c>
      <c r="V35" s="7">
        <v>9900333496</v>
      </c>
      <c r="W35" s="10" t="s">
        <v>48</v>
      </c>
      <c r="X35" s="7" t="s">
        <v>37</v>
      </c>
      <c r="Y35" s="10" t="s">
        <v>38</v>
      </c>
      <c r="Z35" s="7" t="s">
        <v>49</v>
      </c>
      <c r="AA35" s="10" t="s">
        <v>50</v>
      </c>
      <c r="AB35" s="11">
        <f t="shared" si="1"/>
        <v>0.9744602</v>
      </c>
    </row>
    <row r="36" spans="1:28" x14ac:dyDescent="0.35">
      <c r="A36" s="4">
        <v>3478</v>
      </c>
      <c r="B36" s="5" t="s">
        <v>114</v>
      </c>
      <c r="C36" s="6">
        <v>43705</v>
      </c>
      <c r="D36" s="7">
        <v>102</v>
      </c>
      <c r="E36" s="8" t="s">
        <v>45</v>
      </c>
      <c r="F36" s="7" t="s">
        <v>131</v>
      </c>
      <c r="G36" s="10" t="s">
        <v>132</v>
      </c>
      <c r="H36" s="7" t="str">
        <f>"000343"</f>
        <v>000343</v>
      </c>
      <c r="I36" s="6">
        <v>43531</v>
      </c>
      <c r="J36" s="7" t="str">
        <f>"000031"</f>
        <v>000031</v>
      </c>
      <c r="K36" s="6">
        <v>43607</v>
      </c>
      <c r="L36" s="7" t="str">
        <f>"000087"</f>
        <v>000087</v>
      </c>
      <c r="M36" s="6">
        <v>43608</v>
      </c>
      <c r="N36" s="7">
        <v>19</v>
      </c>
      <c r="O36" s="7" t="str">
        <f>"004784"</f>
        <v>004784</v>
      </c>
      <c r="P36" s="6">
        <v>43704</v>
      </c>
      <c r="Q36" s="11">
        <v>98.027600000000007</v>
      </c>
      <c r="R36" s="11">
        <v>12.386150000000001</v>
      </c>
      <c r="S36" s="11">
        <v>85.641450000000006</v>
      </c>
      <c r="T36" s="7">
        <v>170</v>
      </c>
      <c r="U36" s="6">
        <v>43705</v>
      </c>
      <c r="V36" s="7">
        <v>9900333496</v>
      </c>
      <c r="W36" s="10" t="s">
        <v>48</v>
      </c>
      <c r="X36" s="7" t="s">
        <v>37</v>
      </c>
      <c r="Y36" s="10" t="s">
        <v>38</v>
      </c>
      <c r="Z36" s="7" t="s">
        <v>49</v>
      </c>
      <c r="AA36" s="10" t="s">
        <v>50</v>
      </c>
      <c r="AB36" s="11">
        <f t="shared" si="1"/>
        <v>0.98027600000000004</v>
      </c>
    </row>
    <row r="37" spans="1:28" x14ac:dyDescent="0.35">
      <c r="A37" s="4">
        <v>3479</v>
      </c>
      <c r="B37" s="5" t="s">
        <v>114</v>
      </c>
      <c r="C37" s="6">
        <v>43707</v>
      </c>
      <c r="D37" s="7">
        <v>102</v>
      </c>
      <c r="E37" s="8" t="s">
        <v>45</v>
      </c>
      <c r="F37" s="7" t="s">
        <v>133</v>
      </c>
      <c r="G37" s="10" t="s">
        <v>134</v>
      </c>
      <c r="H37" s="7" t="str">
        <f>"000124"</f>
        <v>000124</v>
      </c>
      <c r="I37" s="6">
        <v>43374</v>
      </c>
      <c r="J37" s="7" t="str">
        <f>"000153"</f>
        <v>000153</v>
      </c>
      <c r="K37" s="6">
        <v>43453</v>
      </c>
      <c r="L37" s="7" t="str">
        <f>"000410"</f>
        <v>000410</v>
      </c>
      <c r="M37" s="6">
        <v>43454</v>
      </c>
      <c r="N37" s="7">
        <v>18</v>
      </c>
      <c r="O37" s="7" t="str">
        <f>"004828"</f>
        <v>004828</v>
      </c>
      <c r="P37" s="6">
        <v>43705</v>
      </c>
      <c r="Q37" s="11">
        <v>19.932569999999998</v>
      </c>
      <c r="R37" s="11">
        <v>2.2465799999999998</v>
      </c>
      <c r="S37" s="11">
        <v>17.68599</v>
      </c>
      <c r="T37" s="7">
        <v>172</v>
      </c>
      <c r="U37" s="6">
        <v>43707</v>
      </c>
      <c r="V37" s="7">
        <v>9900333496</v>
      </c>
      <c r="W37" s="10" t="s">
        <v>48</v>
      </c>
      <c r="X37" s="7" t="s">
        <v>53</v>
      </c>
      <c r="Y37" s="10" t="s">
        <v>54</v>
      </c>
      <c r="Z37" s="7" t="s">
        <v>49</v>
      </c>
      <c r="AA37" s="10" t="s">
        <v>50</v>
      </c>
      <c r="AB37" s="11">
        <f t="shared" si="1"/>
        <v>0.19932569999999999</v>
      </c>
    </row>
    <row r="38" spans="1:28" x14ac:dyDescent="0.35">
      <c r="A38" s="4">
        <v>3480</v>
      </c>
      <c r="B38" s="5" t="s">
        <v>114</v>
      </c>
      <c r="C38" s="6">
        <v>43707</v>
      </c>
      <c r="D38" s="7">
        <v>102</v>
      </c>
      <c r="E38" s="8" t="s">
        <v>45</v>
      </c>
      <c r="F38" s="7" t="s">
        <v>135</v>
      </c>
      <c r="G38" s="10" t="s">
        <v>136</v>
      </c>
      <c r="H38" s="7" t="str">
        <f>"000128"</f>
        <v>000128</v>
      </c>
      <c r="I38" s="6">
        <v>43374</v>
      </c>
      <c r="J38" s="7" t="str">
        <f>"000152"</f>
        <v>000152</v>
      </c>
      <c r="K38" s="6">
        <v>43453</v>
      </c>
      <c r="L38" s="7" t="str">
        <f>"000409"</f>
        <v>000409</v>
      </c>
      <c r="M38" s="6">
        <v>43454</v>
      </c>
      <c r="N38" s="7">
        <v>18</v>
      </c>
      <c r="O38" s="7" t="str">
        <f>"004829"</f>
        <v>004829</v>
      </c>
      <c r="P38" s="6">
        <v>43705</v>
      </c>
      <c r="Q38" s="11">
        <v>19.932569999999998</v>
      </c>
      <c r="R38" s="11">
        <v>2.2471299999999998</v>
      </c>
      <c r="S38" s="11">
        <v>17.68544</v>
      </c>
      <c r="T38" s="7">
        <v>172</v>
      </c>
      <c r="U38" s="6">
        <v>43707</v>
      </c>
      <c r="V38" s="7">
        <v>9900333496</v>
      </c>
      <c r="W38" s="10" t="s">
        <v>48</v>
      </c>
      <c r="X38" s="7" t="s">
        <v>53</v>
      </c>
      <c r="Y38" s="10" t="s">
        <v>54</v>
      </c>
      <c r="Z38" s="7" t="s">
        <v>49</v>
      </c>
      <c r="AA38" s="10" t="s">
        <v>50</v>
      </c>
      <c r="AB38" s="11">
        <f t="shared" si="1"/>
        <v>0.19932569999999999</v>
      </c>
    </row>
    <row r="39" spans="1:28" x14ac:dyDescent="0.35">
      <c r="A39" s="4">
        <v>3481</v>
      </c>
      <c r="B39" s="5" t="s">
        <v>114</v>
      </c>
      <c r="C39" s="6">
        <v>43707</v>
      </c>
      <c r="D39" s="7">
        <v>102</v>
      </c>
      <c r="E39" s="8" t="s">
        <v>45</v>
      </c>
      <c r="F39" s="7" t="s">
        <v>137</v>
      </c>
      <c r="G39" s="10" t="s">
        <v>138</v>
      </c>
      <c r="H39" s="7" t="str">
        <f>"000423"</f>
        <v>000423</v>
      </c>
      <c r="I39" s="6">
        <v>43540</v>
      </c>
      <c r="J39" s="7" t="str">
        <f>"000017"</f>
        <v>000017</v>
      </c>
      <c r="K39" s="6">
        <v>43599</v>
      </c>
      <c r="L39" s="7" t="str">
        <f>"000052"</f>
        <v>000052</v>
      </c>
      <c r="M39" s="6">
        <v>43599</v>
      </c>
      <c r="N39" s="7">
        <v>19</v>
      </c>
      <c r="O39" s="7" t="str">
        <f>"004830"</f>
        <v>004830</v>
      </c>
      <c r="P39" s="6">
        <v>43705</v>
      </c>
      <c r="Q39" s="11">
        <v>74.209639999999993</v>
      </c>
      <c r="R39" s="11">
        <v>66.22045</v>
      </c>
      <c r="S39" s="11">
        <v>7.9891899999999998</v>
      </c>
      <c r="T39" s="7">
        <v>172</v>
      </c>
      <c r="U39" s="6">
        <v>43707</v>
      </c>
      <c r="V39" s="7">
        <v>9900333496</v>
      </c>
      <c r="W39" s="10" t="s">
        <v>48</v>
      </c>
      <c r="X39" s="7" t="s">
        <v>139</v>
      </c>
      <c r="Y39" s="10" t="s">
        <v>140</v>
      </c>
      <c r="Z39" s="7" t="s">
        <v>49</v>
      </c>
      <c r="AA39" s="10" t="s">
        <v>50</v>
      </c>
      <c r="AB39" s="11">
        <f t="shared" si="1"/>
        <v>0.74209639999999988</v>
      </c>
    </row>
    <row r="40" spans="1:28" x14ac:dyDescent="0.35">
      <c r="A40" s="4">
        <v>3482</v>
      </c>
      <c r="B40" s="5" t="s">
        <v>141</v>
      </c>
      <c r="C40" s="6">
        <v>43719</v>
      </c>
      <c r="D40" s="7">
        <v>102</v>
      </c>
      <c r="E40" s="8" t="s">
        <v>45</v>
      </c>
      <c r="F40" s="7" t="s">
        <v>142</v>
      </c>
      <c r="G40" s="10" t="s">
        <v>143</v>
      </c>
      <c r="H40" s="7" t="str">
        <f>"000333"</f>
        <v>000333</v>
      </c>
      <c r="I40" s="6">
        <v>43531</v>
      </c>
      <c r="J40" s="7" t="str">
        <f>"000044"</f>
        <v>000044</v>
      </c>
      <c r="K40" s="6">
        <v>43614</v>
      </c>
      <c r="L40" s="7" t="str">
        <f>"000124"</f>
        <v>000124</v>
      </c>
      <c r="M40" s="6">
        <v>43626</v>
      </c>
      <c r="N40" s="7">
        <v>18</v>
      </c>
      <c r="O40" s="7" t="str">
        <f>"004949"</f>
        <v>004949</v>
      </c>
      <c r="P40" s="6">
        <v>43717</v>
      </c>
      <c r="Q40" s="11">
        <v>9.9766999999999992</v>
      </c>
      <c r="R40" s="11">
        <v>1.20204</v>
      </c>
      <c r="S40" s="11">
        <v>8.7746600000000008</v>
      </c>
      <c r="T40" s="7">
        <v>182</v>
      </c>
      <c r="U40" s="6">
        <v>43719</v>
      </c>
      <c r="V40" s="7">
        <v>9900333496</v>
      </c>
      <c r="W40" s="10" t="s">
        <v>48</v>
      </c>
      <c r="X40" s="7" t="s">
        <v>37</v>
      </c>
      <c r="Y40" s="10" t="s">
        <v>38</v>
      </c>
      <c r="Z40" s="7" t="s">
        <v>49</v>
      </c>
      <c r="AA40" s="10" t="s">
        <v>50</v>
      </c>
      <c r="AB40" s="11">
        <f t="shared" si="1"/>
        <v>9.9766999999999995E-2</v>
      </c>
    </row>
    <row r="41" spans="1:28" x14ac:dyDescent="0.35">
      <c r="A41" s="4">
        <v>3483</v>
      </c>
      <c r="B41" s="5" t="s">
        <v>141</v>
      </c>
      <c r="C41" s="6">
        <v>43726</v>
      </c>
      <c r="D41" s="7">
        <v>102</v>
      </c>
      <c r="E41" s="8" t="s">
        <v>45</v>
      </c>
      <c r="F41" s="7" t="s">
        <v>144</v>
      </c>
      <c r="G41" s="10" t="s">
        <v>145</v>
      </c>
      <c r="H41" s="7" t="str">
        <f>"000129"</f>
        <v>000129</v>
      </c>
      <c r="I41" s="6">
        <v>43374</v>
      </c>
      <c r="J41" s="7" t="str">
        <f>"000045"</f>
        <v>000045</v>
      </c>
      <c r="K41" s="6">
        <v>43616</v>
      </c>
      <c r="L41" s="7" t="str">
        <f>"000123"</f>
        <v>000123</v>
      </c>
      <c r="M41" s="6">
        <v>43626</v>
      </c>
      <c r="N41" s="7">
        <v>17</v>
      </c>
      <c r="O41" s="7" t="str">
        <f>"005119"</f>
        <v>005119</v>
      </c>
      <c r="P41" s="6">
        <v>43720</v>
      </c>
      <c r="Q41" s="11">
        <v>9.6714699999999993</v>
      </c>
      <c r="R41" s="11">
        <v>1.10049</v>
      </c>
      <c r="S41" s="11">
        <v>8.5709800000000005</v>
      </c>
      <c r="T41" s="7">
        <v>191</v>
      </c>
      <c r="U41" s="6">
        <v>43726</v>
      </c>
      <c r="V41" s="7">
        <v>9900333496</v>
      </c>
      <c r="W41" s="10" t="s">
        <v>48</v>
      </c>
      <c r="X41" s="7" t="s">
        <v>33</v>
      </c>
      <c r="Y41" s="10" t="s">
        <v>34</v>
      </c>
      <c r="Z41" s="7" t="s">
        <v>49</v>
      </c>
      <c r="AA41" s="10" t="s">
        <v>50</v>
      </c>
      <c r="AB41" s="11">
        <f t="shared" si="1"/>
        <v>9.6714699999999987E-2</v>
      </c>
    </row>
    <row r="42" spans="1:28" x14ac:dyDescent="0.35">
      <c r="A42" s="4">
        <v>3484</v>
      </c>
      <c r="B42" s="5" t="s">
        <v>141</v>
      </c>
      <c r="C42" s="6">
        <v>43729</v>
      </c>
      <c r="D42" s="7">
        <v>102</v>
      </c>
      <c r="E42" s="8" t="s">
        <v>45</v>
      </c>
      <c r="F42" s="7" t="s">
        <v>146</v>
      </c>
      <c r="G42" s="10" t="s">
        <v>147</v>
      </c>
      <c r="H42" s="7" t="str">
        <f>"000182"</f>
        <v>000182</v>
      </c>
      <c r="I42" s="6">
        <v>43147</v>
      </c>
      <c r="J42" s="7" t="str">
        <f>"000007"</f>
        <v>000007</v>
      </c>
      <c r="K42" s="6">
        <v>43199</v>
      </c>
      <c r="L42" s="7" t="str">
        <f>"000015"</f>
        <v>000015</v>
      </c>
      <c r="M42" s="6">
        <v>43199</v>
      </c>
      <c r="N42" s="7">
        <v>18</v>
      </c>
      <c r="O42" s="7" t="str">
        <f>"005027"</f>
        <v>005027</v>
      </c>
      <c r="P42" s="6">
        <v>43719</v>
      </c>
      <c r="Q42" s="11">
        <v>19.940750000000001</v>
      </c>
      <c r="R42" s="11">
        <v>2.3490899999999999</v>
      </c>
      <c r="S42" s="11">
        <v>17.591660000000001</v>
      </c>
      <c r="T42" s="7">
        <v>194</v>
      </c>
      <c r="U42" s="6">
        <v>43729</v>
      </c>
      <c r="V42" s="7">
        <v>9900333496</v>
      </c>
      <c r="W42" s="10" t="s">
        <v>48</v>
      </c>
      <c r="X42" s="7" t="s">
        <v>125</v>
      </c>
      <c r="Y42" s="10" t="s">
        <v>126</v>
      </c>
      <c r="Z42" s="7" t="s">
        <v>49</v>
      </c>
      <c r="AA42" s="10" t="s">
        <v>50</v>
      </c>
      <c r="AB42" s="11">
        <f t="shared" si="1"/>
        <v>0.19940750000000002</v>
      </c>
    </row>
    <row r="43" spans="1:28" x14ac:dyDescent="0.35">
      <c r="A43" s="4">
        <v>3485</v>
      </c>
      <c r="B43" s="5" t="s">
        <v>141</v>
      </c>
      <c r="C43" s="6">
        <v>43729</v>
      </c>
      <c r="D43" s="7">
        <v>102</v>
      </c>
      <c r="E43" s="8" t="s">
        <v>45</v>
      </c>
      <c r="F43" s="7" t="s">
        <v>148</v>
      </c>
      <c r="G43" s="10" t="s">
        <v>149</v>
      </c>
      <c r="H43" s="7" t="str">
        <f>"000175"</f>
        <v>000175</v>
      </c>
      <c r="I43" s="6">
        <v>43147</v>
      </c>
      <c r="J43" s="7" t="str">
        <f>"000006"</f>
        <v>000006</v>
      </c>
      <c r="K43" s="6">
        <v>43199</v>
      </c>
      <c r="L43" s="7" t="str">
        <f>"000016"</f>
        <v>000016</v>
      </c>
      <c r="M43" s="6">
        <v>43199</v>
      </c>
      <c r="N43" s="7">
        <v>18</v>
      </c>
      <c r="O43" s="7" t="str">
        <f>"005029"</f>
        <v>005029</v>
      </c>
      <c r="P43" s="6">
        <v>43719</v>
      </c>
      <c r="Q43" s="11">
        <v>19.993379999999998</v>
      </c>
      <c r="R43" s="11">
        <v>2.3573300000000001</v>
      </c>
      <c r="S43" s="11">
        <v>17.636050000000001</v>
      </c>
      <c r="T43" s="7">
        <v>194</v>
      </c>
      <c r="U43" s="6">
        <v>43729</v>
      </c>
      <c r="V43" s="7">
        <v>9900333496</v>
      </c>
      <c r="W43" s="10" t="s">
        <v>48</v>
      </c>
      <c r="X43" s="7" t="s">
        <v>119</v>
      </c>
      <c r="Y43" s="10" t="s">
        <v>120</v>
      </c>
      <c r="Z43" s="7" t="s">
        <v>49</v>
      </c>
      <c r="AA43" s="10" t="s">
        <v>50</v>
      </c>
      <c r="AB43" s="11">
        <f t="shared" si="1"/>
        <v>0.19993379999999999</v>
      </c>
    </row>
    <row r="44" spans="1:28" x14ac:dyDescent="0.35">
      <c r="A44" s="4">
        <v>3486</v>
      </c>
      <c r="B44" s="5" t="s">
        <v>141</v>
      </c>
      <c r="C44" s="6">
        <v>43729</v>
      </c>
      <c r="D44" s="7">
        <v>102</v>
      </c>
      <c r="E44" s="8" t="s">
        <v>45</v>
      </c>
      <c r="F44" s="7" t="s">
        <v>150</v>
      </c>
      <c r="G44" s="10" t="s">
        <v>151</v>
      </c>
      <c r="H44" s="7" t="str">
        <f>"000184"</f>
        <v>000184</v>
      </c>
      <c r="I44" s="6">
        <v>43147</v>
      </c>
      <c r="J44" s="7" t="str">
        <f>"000005"</f>
        <v>000005</v>
      </c>
      <c r="K44" s="6">
        <v>43199</v>
      </c>
      <c r="L44" s="7" t="str">
        <f>"000017"</f>
        <v>000017</v>
      </c>
      <c r="M44" s="6">
        <v>43199</v>
      </c>
      <c r="N44" s="7">
        <v>18</v>
      </c>
      <c r="O44" s="7" t="str">
        <f>"005031"</f>
        <v>005031</v>
      </c>
      <c r="P44" s="6">
        <v>43719</v>
      </c>
      <c r="Q44" s="11">
        <v>14.99708</v>
      </c>
      <c r="R44" s="11">
        <v>1.7837000000000001</v>
      </c>
      <c r="S44" s="11">
        <v>13.213380000000001</v>
      </c>
      <c r="T44" s="7">
        <v>194</v>
      </c>
      <c r="U44" s="6">
        <v>43729</v>
      </c>
      <c r="V44" s="7">
        <v>9900333496</v>
      </c>
      <c r="W44" s="10" t="s">
        <v>48</v>
      </c>
      <c r="X44" s="7" t="s">
        <v>125</v>
      </c>
      <c r="Y44" s="10" t="s">
        <v>126</v>
      </c>
      <c r="Z44" s="7" t="s">
        <v>49</v>
      </c>
      <c r="AA44" s="10" t="s">
        <v>50</v>
      </c>
      <c r="AB44" s="11">
        <f t="shared" si="1"/>
        <v>0.14997080000000002</v>
      </c>
    </row>
    <row r="45" spans="1:28" x14ac:dyDescent="0.35">
      <c r="A45" s="4">
        <v>3487</v>
      </c>
      <c r="B45" s="5" t="s">
        <v>152</v>
      </c>
      <c r="C45" s="6">
        <v>43741</v>
      </c>
      <c r="D45" s="4">
        <v>102</v>
      </c>
      <c r="E45" s="8" t="s">
        <v>45</v>
      </c>
      <c r="F45" s="7" t="s">
        <v>129</v>
      </c>
      <c r="G45" s="8" t="s">
        <v>130</v>
      </c>
      <c r="H45" s="7" t="str">
        <f>"000344"</f>
        <v>000344</v>
      </c>
      <c r="I45" s="6">
        <v>43532</v>
      </c>
      <c r="J45" s="7" t="str">
        <f>"000030"</f>
        <v>000030</v>
      </c>
      <c r="K45" s="6">
        <v>43607</v>
      </c>
      <c r="L45" s="7" t="str">
        <f>"000086"</f>
        <v>000086</v>
      </c>
      <c r="M45" s="6">
        <v>43608</v>
      </c>
      <c r="N45" s="7">
        <v>19</v>
      </c>
      <c r="O45" s="7" t="str">
        <f>"004783"</f>
        <v>004783</v>
      </c>
      <c r="P45" s="6">
        <v>43704</v>
      </c>
      <c r="Q45" s="9">
        <v>3.58</v>
      </c>
      <c r="R45" s="9">
        <v>0.35799999999999998</v>
      </c>
      <c r="S45" s="9">
        <v>3.222</v>
      </c>
      <c r="T45" s="7">
        <v>13</v>
      </c>
      <c r="U45" s="6">
        <v>43741</v>
      </c>
      <c r="V45" s="7">
        <v>8618239904</v>
      </c>
      <c r="W45" s="8" t="s">
        <v>153</v>
      </c>
      <c r="X45" s="7" t="s">
        <v>37</v>
      </c>
      <c r="Y45" s="8" t="s">
        <v>38</v>
      </c>
      <c r="Z45" s="7" t="s">
        <v>49</v>
      </c>
      <c r="AA45" s="8" t="s">
        <v>50</v>
      </c>
      <c r="AB45" s="9">
        <v>3.5799999999999998E-2</v>
      </c>
    </row>
    <row r="46" spans="1:28" x14ac:dyDescent="0.35">
      <c r="A46" s="4">
        <v>3488</v>
      </c>
      <c r="B46" s="5" t="s">
        <v>152</v>
      </c>
      <c r="C46" s="6">
        <v>43741</v>
      </c>
      <c r="D46" s="4">
        <v>102</v>
      </c>
      <c r="E46" s="8" t="s">
        <v>45</v>
      </c>
      <c r="F46" s="7" t="s">
        <v>98</v>
      </c>
      <c r="G46" s="8" t="s">
        <v>154</v>
      </c>
      <c r="H46" s="7" t="str">
        <f>"000445"</f>
        <v>000445</v>
      </c>
      <c r="I46" s="6">
        <v>43543</v>
      </c>
      <c r="J46" s="7" t="str">
        <f>"000050"</f>
        <v>000050</v>
      </c>
      <c r="K46" s="6">
        <v>43629</v>
      </c>
      <c r="L46" s="7" t="str">
        <f>"000127"</f>
        <v>000127</v>
      </c>
      <c r="M46" s="6">
        <v>43629</v>
      </c>
      <c r="N46" s="7">
        <v>19</v>
      </c>
      <c r="O46" s="7" t="str">
        <f>"002886"</f>
        <v>002886</v>
      </c>
      <c r="P46" s="6">
        <v>43636</v>
      </c>
      <c r="Q46" s="9">
        <v>3.1113</v>
      </c>
      <c r="R46" s="9">
        <v>0.31113000000000002</v>
      </c>
      <c r="S46" s="9">
        <v>2.80017</v>
      </c>
      <c r="T46" s="7">
        <v>13</v>
      </c>
      <c r="U46" s="6">
        <v>43741</v>
      </c>
      <c r="V46" s="7">
        <v>9538136111</v>
      </c>
      <c r="W46" s="8" t="s">
        <v>155</v>
      </c>
      <c r="X46" s="7" t="s">
        <v>37</v>
      </c>
      <c r="Y46" s="8" t="s">
        <v>38</v>
      </c>
      <c r="Z46" s="7" t="s">
        <v>49</v>
      </c>
      <c r="AA46" s="8" t="s">
        <v>50</v>
      </c>
      <c r="AB46" s="9">
        <v>3.1112999999999998E-2</v>
      </c>
    </row>
    <row r="47" spans="1:28" x14ac:dyDescent="0.35">
      <c r="A47" s="4">
        <v>3489</v>
      </c>
      <c r="B47" s="5" t="s">
        <v>152</v>
      </c>
      <c r="C47" s="6">
        <v>43741</v>
      </c>
      <c r="D47" s="4">
        <v>102</v>
      </c>
      <c r="E47" s="8" t="s">
        <v>45</v>
      </c>
      <c r="F47" s="7" t="s">
        <v>129</v>
      </c>
      <c r="G47" s="8" t="s">
        <v>130</v>
      </c>
      <c r="H47" s="7" t="str">
        <f>"000344"</f>
        <v>000344</v>
      </c>
      <c r="I47" s="6">
        <v>43532</v>
      </c>
      <c r="J47" s="7" t="str">
        <f>"000030"</f>
        <v>000030</v>
      </c>
      <c r="K47" s="6">
        <v>43607</v>
      </c>
      <c r="L47" s="7" t="str">
        <f>"000086"</f>
        <v>000086</v>
      </c>
      <c r="M47" s="6">
        <v>43608</v>
      </c>
      <c r="N47" s="7">
        <v>19</v>
      </c>
      <c r="O47" s="7" t="str">
        <f>"004783"</f>
        <v>004783</v>
      </c>
      <c r="P47" s="6">
        <v>43704</v>
      </c>
      <c r="Q47" s="9">
        <v>3.6036000000000001</v>
      </c>
      <c r="R47" s="9">
        <v>0.36036000000000001</v>
      </c>
      <c r="S47" s="9">
        <v>3.2432400000000001</v>
      </c>
      <c r="T47" s="7">
        <v>13</v>
      </c>
      <c r="U47" s="6">
        <v>43741</v>
      </c>
      <c r="V47" s="7">
        <v>9538136111</v>
      </c>
      <c r="W47" s="8" t="s">
        <v>155</v>
      </c>
      <c r="X47" s="7" t="s">
        <v>37</v>
      </c>
      <c r="Y47" s="8" t="s">
        <v>38</v>
      </c>
      <c r="Z47" s="7" t="s">
        <v>49</v>
      </c>
      <c r="AA47" s="8" t="s">
        <v>50</v>
      </c>
      <c r="AB47" s="9">
        <v>3.6035999999999999E-2</v>
      </c>
    </row>
    <row r="48" spans="1:28" x14ac:dyDescent="0.35">
      <c r="A48" s="4">
        <v>3490</v>
      </c>
      <c r="B48" s="5" t="s">
        <v>152</v>
      </c>
      <c r="C48" s="6">
        <v>43748</v>
      </c>
      <c r="D48" s="4">
        <v>102</v>
      </c>
      <c r="E48" s="8" t="s">
        <v>45</v>
      </c>
      <c r="F48" s="7" t="s">
        <v>156</v>
      </c>
      <c r="G48" s="8" t="s">
        <v>157</v>
      </c>
      <c r="H48" s="7" t="str">
        <f>"000070"</f>
        <v>000070</v>
      </c>
      <c r="I48" s="6">
        <v>43309</v>
      </c>
      <c r="J48" s="7" t="str">
        <f>"000111"</f>
        <v>000111</v>
      </c>
      <c r="K48" s="6">
        <v>43340</v>
      </c>
      <c r="L48" s="7" t="str">
        <f>"000251"</f>
        <v>000251</v>
      </c>
      <c r="M48" s="6">
        <v>43341</v>
      </c>
      <c r="N48" s="7">
        <v>17</v>
      </c>
      <c r="O48" s="7" t="str">
        <f>"005680"</f>
        <v>005680</v>
      </c>
      <c r="P48" s="6">
        <v>43748</v>
      </c>
      <c r="Q48" s="9">
        <v>14.71367</v>
      </c>
      <c r="R48" s="9">
        <v>1.76373</v>
      </c>
      <c r="S48" s="9">
        <v>12.94994</v>
      </c>
      <c r="T48" s="7">
        <v>13</v>
      </c>
      <c r="U48" s="6">
        <v>43748</v>
      </c>
      <c r="V48" s="7">
        <v>9900333496</v>
      </c>
      <c r="W48" s="8" t="s">
        <v>48</v>
      </c>
      <c r="X48" s="7" t="s">
        <v>158</v>
      </c>
      <c r="Y48" s="8" t="s">
        <v>159</v>
      </c>
      <c r="Z48" s="7" t="s">
        <v>49</v>
      </c>
      <c r="AA48" s="8" t="s">
        <v>50</v>
      </c>
      <c r="AB48" s="9">
        <v>0.14713670000000001</v>
      </c>
    </row>
    <row r="49" spans="1:28" x14ac:dyDescent="0.35">
      <c r="A49" s="4">
        <v>3491</v>
      </c>
      <c r="B49" s="5" t="s">
        <v>152</v>
      </c>
      <c r="C49" s="6">
        <v>43752</v>
      </c>
      <c r="D49" s="4">
        <v>102</v>
      </c>
      <c r="E49" s="8" t="s">
        <v>45</v>
      </c>
      <c r="F49" s="7" t="s">
        <v>160</v>
      </c>
      <c r="G49" s="8" t="s">
        <v>161</v>
      </c>
      <c r="H49" s="7" t="str">
        <f>"000177"</f>
        <v>000177</v>
      </c>
      <c r="I49" s="6">
        <v>43147</v>
      </c>
      <c r="J49" s="7" t="str">
        <f>"000021"</f>
        <v>000021</v>
      </c>
      <c r="K49" s="6">
        <v>43218</v>
      </c>
      <c r="L49" s="7" t="str">
        <f>"000040"</f>
        <v>000040</v>
      </c>
      <c r="M49" s="6">
        <v>43218</v>
      </c>
      <c r="N49" s="7">
        <v>18</v>
      </c>
      <c r="O49" s="7" t="str">
        <f>"005551"</f>
        <v>005551</v>
      </c>
      <c r="P49" s="6">
        <v>43739</v>
      </c>
      <c r="Q49" s="9">
        <v>19.981719999999999</v>
      </c>
      <c r="R49" s="9">
        <v>2.4139200000000001</v>
      </c>
      <c r="S49" s="9">
        <v>17.567799999999998</v>
      </c>
      <c r="T49" s="7">
        <v>13</v>
      </c>
      <c r="U49" s="6">
        <v>43752</v>
      </c>
      <c r="V49" s="7">
        <v>9900333496</v>
      </c>
      <c r="W49" s="8" t="s">
        <v>48</v>
      </c>
      <c r="X49" s="7" t="s">
        <v>119</v>
      </c>
      <c r="Y49" s="8" t="s">
        <v>120</v>
      </c>
      <c r="Z49" s="7" t="s">
        <v>162</v>
      </c>
      <c r="AA49" s="8" t="s">
        <v>163</v>
      </c>
      <c r="AB49" s="9">
        <v>0.1998172</v>
      </c>
    </row>
    <row r="50" spans="1:28" x14ac:dyDescent="0.35">
      <c r="A50" s="4">
        <v>3492</v>
      </c>
      <c r="B50" s="5" t="s">
        <v>152</v>
      </c>
      <c r="C50" s="6">
        <v>43762</v>
      </c>
      <c r="D50" s="4">
        <v>102</v>
      </c>
      <c r="E50" s="8" t="s">
        <v>45</v>
      </c>
      <c r="F50" s="7" t="s">
        <v>164</v>
      </c>
      <c r="G50" s="8" t="s">
        <v>165</v>
      </c>
      <c r="H50" s="7" t="str">
        <f>"000309"</f>
        <v>000309</v>
      </c>
      <c r="I50" s="6">
        <v>43159</v>
      </c>
      <c r="J50" s="7" t="str">
        <f>"000012"</f>
        <v>000012</v>
      </c>
      <c r="K50" s="6">
        <v>43595</v>
      </c>
      <c r="L50" s="7" t="str">
        <f>"000043"</f>
        <v>000043</v>
      </c>
      <c r="M50" s="6">
        <v>43595</v>
      </c>
      <c r="N50" s="7">
        <v>17</v>
      </c>
      <c r="O50" s="7" t="str">
        <f>"005837"</f>
        <v>005837</v>
      </c>
      <c r="P50" s="6">
        <v>43756</v>
      </c>
      <c r="Q50" s="9">
        <v>51.452280000000002</v>
      </c>
      <c r="R50" s="9">
        <v>6.0855699999999997</v>
      </c>
      <c r="S50" s="9">
        <v>45.366709999999998</v>
      </c>
      <c r="T50" s="7">
        <v>13</v>
      </c>
      <c r="U50" s="6">
        <v>43762</v>
      </c>
      <c r="V50" s="7">
        <v>0</v>
      </c>
      <c r="W50" s="8" t="s">
        <v>166</v>
      </c>
      <c r="X50" s="7" t="s">
        <v>167</v>
      </c>
      <c r="Y50" s="8" t="s">
        <v>168</v>
      </c>
      <c r="Z50" s="7" t="s">
        <v>49</v>
      </c>
      <c r="AA50" s="8" t="s">
        <v>50</v>
      </c>
      <c r="AB50" s="9">
        <v>0.51452280000000006</v>
      </c>
    </row>
    <row r="51" spans="1:28" x14ac:dyDescent="0.35">
      <c r="A51" s="4">
        <v>3493</v>
      </c>
      <c r="B51" s="5" t="s">
        <v>152</v>
      </c>
      <c r="C51" s="6">
        <v>43768</v>
      </c>
      <c r="D51" s="4">
        <v>102</v>
      </c>
      <c r="E51" s="8" t="s">
        <v>45</v>
      </c>
      <c r="F51" s="7" t="s">
        <v>169</v>
      </c>
      <c r="G51" s="8" t="s">
        <v>170</v>
      </c>
      <c r="H51" s="7" t="str">
        <f>"000060"</f>
        <v>000060</v>
      </c>
      <c r="I51" s="6">
        <v>43357</v>
      </c>
      <c r="J51" s="7" t="str">
        <f>"000260"</f>
        <v>000260</v>
      </c>
      <c r="K51" s="6">
        <v>43532</v>
      </c>
      <c r="L51" s="7" t="str">
        <f>"000259"</f>
        <v>000259</v>
      </c>
      <c r="M51" s="6">
        <v>43532</v>
      </c>
      <c r="N51" s="7">
        <v>18</v>
      </c>
      <c r="O51" s="7" t="str">
        <f>"006000"</f>
        <v>006000</v>
      </c>
      <c r="P51" s="6">
        <v>43763</v>
      </c>
      <c r="Q51" s="9">
        <v>9.9451999999999998</v>
      </c>
      <c r="R51" s="9">
        <v>1.2504299999999999</v>
      </c>
      <c r="S51" s="9">
        <v>8.6947700000000001</v>
      </c>
      <c r="T51" s="7">
        <v>13</v>
      </c>
      <c r="U51" s="6">
        <v>43768</v>
      </c>
      <c r="V51" s="7">
        <v>9845008155</v>
      </c>
      <c r="W51" s="8" t="s">
        <v>171</v>
      </c>
      <c r="X51" s="7" t="s">
        <v>172</v>
      </c>
      <c r="Y51" s="8" t="s">
        <v>173</v>
      </c>
      <c r="Z51" s="7" t="s">
        <v>174</v>
      </c>
      <c r="AA51" s="8" t="s">
        <v>175</v>
      </c>
      <c r="AB51" s="9">
        <v>9.9451999999999999E-2</v>
      </c>
    </row>
    <row r="52" spans="1:28" x14ac:dyDescent="0.35">
      <c r="A52" s="4">
        <v>3494</v>
      </c>
      <c r="B52" s="5" t="s">
        <v>176</v>
      </c>
      <c r="C52" s="6">
        <v>43815</v>
      </c>
      <c r="D52" s="4">
        <v>102</v>
      </c>
      <c r="E52" s="8" t="s">
        <v>45</v>
      </c>
      <c r="F52" s="7" t="s">
        <v>177</v>
      </c>
      <c r="G52" s="8" t="s">
        <v>178</v>
      </c>
      <c r="H52" s="7" t="str">
        <f>"000176"</f>
        <v>000176</v>
      </c>
      <c r="I52" s="6">
        <v>43147</v>
      </c>
      <c r="J52" s="7" t="str">
        <f>"000023"</f>
        <v>000023</v>
      </c>
      <c r="K52" s="6">
        <v>43250</v>
      </c>
      <c r="L52" s="7" t="str">
        <f>"000067"</f>
        <v>000067</v>
      </c>
      <c r="M52" s="6">
        <v>43250</v>
      </c>
      <c r="N52" s="7">
        <v>18</v>
      </c>
      <c r="O52" s="7" t="str">
        <f>"006577"</f>
        <v>006577</v>
      </c>
      <c r="P52" s="6">
        <v>43802</v>
      </c>
      <c r="Q52" s="9">
        <v>19.995560000000001</v>
      </c>
      <c r="R52" s="9">
        <v>2.3601899999999998</v>
      </c>
      <c r="S52" s="9">
        <v>17.635370000000002</v>
      </c>
      <c r="T52" s="7">
        <v>13</v>
      </c>
      <c r="U52" s="6">
        <v>43815</v>
      </c>
      <c r="V52" s="7">
        <v>9900333496</v>
      </c>
      <c r="W52" s="8" t="s">
        <v>48</v>
      </c>
      <c r="X52" s="7" t="s">
        <v>119</v>
      </c>
      <c r="Y52" s="8" t="s">
        <v>120</v>
      </c>
      <c r="Z52" s="7" t="s">
        <v>49</v>
      </c>
      <c r="AA52" s="8" t="s">
        <v>50</v>
      </c>
      <c r="AB52" s="9">
        <v>0.19995560000000001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2020-01-30T05:43:30Z</dcterms:modified>
</cp:coreProperties>
</file>