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O18" i="1"/>
  <c r="L18" i="1"/>
  <c r="J18" i="1"/>
  <c r="H18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<sst xmlns="http://schemas.openxmlformats.org/spreadsheetml/2006/main" count="334" uniqueCount="158">
  <si>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</si>
  <si>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</si>
  <si>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</si>
  <si>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</si>
  <si>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</si>
  <si>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</si>
  <si>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</si>
  <si>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</si>
  <si>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</si>
  <si>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</si>
  <si>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</si>
  <si>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</si>
  <si>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</si>
  <si>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</si>
  <si>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</si>
  <si>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</si>
  <si>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</si>
  <si>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</si>
  <si>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</si>
  <si>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</si>
  <si>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</si>
  <si>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</si>
  <si>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</si>
  <si>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</si>
  <si>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</si>
  <si>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</si>
  <si>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</si>
  <si>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</si>
  <si>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June</t>
  </si>
  <si>
    <t>P1771</t>
  </si>
  <si>
    <t>Zone Works - POW Works</t>
  </si>
  <si>
    <t>May</t>
  </si>
  <si>
    <t>P3296</t>
  </si>
  <si>
    <t>14th Finance Commission Works - Road and Footpath Maintenance</t>
  </si>
  <si>
    <t>P2415</t>
  </si>
  <si>
    <t>Reserve fund for TandF Committee</t>
  </si>
  <si>
    <t>P3292</t>
  </si>
  <si>
    <t>14th Finance Commission Works - Community Property Maintenance (including Parks)</t>
  </si>
  <si>
    <t>P0190</t>
  </si>
  <si>
    <t>Works sanctioned by Hon Mayor</t>
  </si>
  <si>
    <t>P3295</t>
  </si>
  <si>
    <t>14th Finance Commission Works - UGD Works</t>
  </si>
  <si>
    <t>ddo326</t>
  </si>
  <si>
    <t xml:space="preserve"> Executive Engineer SWM 1 Central Zone</t>
  </si>
  <si>
    <t>P1878</t>
  </si>
  <si>
    <t>18per - Works (Bhagyajyothi, Sooru / Neeru Yojane and General) (54 Lakhs / New Wards)</t>
  </si>
  <si>
    <t>Technical Manager West KRIDL</t>
  </si>
  <si>
    <t>ddo267</t>
  </si>
  <si>
    <t xml:space="preserve"> Assistant Executive Engineer Govidaraj Nagar West Zone</t>
  </si>
  <si>
    <t>Executive Engineer, KRIDL</t>
  </si>
  <si>
    <t>M Krishna</t>
  </si>
  <si>
    <t>Dr Raj Kumar Ward</t>
  </si>
  <si>
    <t>106-17-000013</t>
  </si>
  <si>
    <t>Improvement of draina and footpath to 1st cross at Rajajinagar Industrial Estate in ward no 106</t>
  </si>
  <si>
    <t>106-17-000036</t>
  </si>
  <si>
    <t>Construction of drain and footpath at Kanteerava Colony 13th E cross road and surrounding area in ward No. 106 Dr//Rajkumar ward</t>
  </si>
  <si>
    <t>106-17-000029</t>
  </si>
  <si>
    <t>Construction of drain and footpath for AD Halli Main and corss roads in ward No. 106 Dr//Rajkumar ward</t>
  </si>
  <si>
    <t>106-17-000031</t>
  </si>
  <si>
    <t>Construction of drain and footpath for Industrial Town Main and corss roads in ward No. 106 Dr//Rajkumar ward</t>
  </si>
  <si>
    <t>106-16-000002</t>
  </si>
  <si>
    <t>Construction and improvements of culverts in ward no. 106</t>
  </si>
  <si>
    <t>Sri Nanjundeshwara Enterprises Prop J Mohan kumar</t>
  </si>
  <si>
    <t>106-17-000034</t>
  </si>
  <si>
    <t>Restoration of concrete patch to cement concrete roads in ward Jurisidiction at ward No. 106 Dr//Rajkumar ward</t>
  </si>
  <si>
    <t>J Vinay kumar M/s Vaishnavi Enterprises</t>
  </si>
  <si>
    <t>106-17-000028</t>
  </si>
  <si>
    <t>Providing cement concrete to bad roads for AD Halli cross road in ward No.106 Dr//Rajkumar ward</t>
  </si>
  <si>
    <t>J Vinaykumar M/s Vaishnavi Enterprises</t>
  </si>
  <si>
    <t>PRVD AND FIXING DR B R AMBEDKAR STATUE AND PEDESTAL AT DR B R AMBEDKAR STADIUM</t>
  </si>
  <si>
    <t>Prabhakar Srikanth Dongarsane</t>
  </si>
  <si>
    <t>P1537</t>
  </si>
  <si>
    <t>Ambedkar Statium</t>
  </si>
  <si>
    <t>ddo197</t>
  </si>
  <si>
    <t xml:space="preserve"> Executive Engineer Project West Zone</t>
  </si>
  <si>
    <t>106-18-000065</t>
  </si>
  <si>
    <t>Sinking borwell and providing and providing pipeline at kanteerava colony slum in ward no-106</t>
  </si>
  <si>
    <t>106-18-000048</t>
  </si>
  <si>
    <t>Maintenance of chord road park and surrounding premises in ward no 106</t>
  </si>
  <si>
    <t>106-18-000051</t>
  </si>
  <si>
    <t>Maintenance of Road and Footpath in Rajajinagara Industrial town and adjecent area in ward no 106</t>
  </si>
  <si>
    <t>106-18-000056</t>
  </si>
  <si>
    <t>Maintenance and replacement of damaged UGD line in ward no 106</t>
  </si>
  <si>
    <t>106-17-000030</t>
  </si>
  <si>
    <t>Construction of drain and footpath for 6th Block Rajajinagar Main and corss roads in ward No. 106 Dr//Rajkumar ward</t>
  </si>
  <si>
    <t>106-17-000043</t>
  </si>
  <si>
    <t>Development of Banashankari Park in ward no 106 Dr. Rajkumar ward</t>
  </si>
  <si>
    <t>106-17-000027</t>
  </si>
  <si>
    <t>Providing and fixing street Name board in ward Jurisdiction at ward No.106 Dr//Rajkumar ward</t>
  </si>
  <si>
    <t>106-18-000023</t>
  </si>
  <si>
    <t>Improvements to bad concrete road at 1st cross and laterals in Kanteerva colony in ward no-106</t>
  </si>
  <si>
    <t>106-17-000012</t>
  </si>
  <si>
    <t>Maintainance of footpath and drain to 12th A B C Main Roads 6th block Rajajinagar and surrounding area in ward no 106</t>
  </si>
  <si>
    <t xml:space="preserve"> Assistant Executive Engineer Electrical West Zone</t>
  </si>
  <si>
    <t>ddo209</t>
  </si>
  <si>
    <t>M and R to Electrical Inst in BMP Buildings, Schools, M.Homes, Community Halls, Markets and Others</t>
  </si>
  <si>
    <t>P0294</t>
  </si>
  <si>
    <t>Manoj Enterprises</t>
  </si>
  <si>
    <t xml:space="preserve">Providing Electrical maintenance of Dr.Ambedkar Stadium AD Halli in Ward No-106. </t>
  </si>
  <si>
    <t>106-13-000027</t>
  </si>
  <si>
    <t>September</t>
  </si>
  <si>
    <t>M and R to Electrical Crematoria</t>
  </si>
  <si>
    <t>P0287</t>
  </si>
  <si>
    <t>Providing Electrical maintenance of Dr.Ambedkar Stadium AD Halli in Ward No-106.</t>
  </si>
  <si>
    <t>106-16-000013</t>
  </si>
  <si>
    <t>14th Finance Commission Works - Drinking Water</t>
  </si>
  <si>
    <t>P3293</t>
  </si>
  <si>
    <t>KRIDL</t>
  </si>
  <si>
    <t>Maintenance and providing Drinking water pipeline in ward no 106</t>
  </si>
  <si>
    <t>106-18-000049</t>
  </si>
  <si>
    <t>Sri Nanjundeshwara Enterprises Prop J Mohankumar</t>
  </si>
  <si>
    <t>Construction of drain and foothpath at Agarahara Dasarahalli from tank bund road to 7th main road of 13th cross and surounding area in ward No. 106</t>
  </si>
  <si>
    <t>106-16-000005</t>
  </si>
  <si>
    <t>T R Nagaraj</t>
  </si>
  <si>
    <t>Maintaince of Dr//Rajkumar Glass house and Kempegowda Community Hall in ward No.106 Dr//Rajkumar ward</t>
  </si>
  <si>
    <t>106-17-000032</t>
  </si>
  <si>
    <t>August</t>
  </si>
  <si>
    <t>N C Nataraj</t>
  </si>
  <si>
    <t>Emergency works(foot path and drain repair) in ward No. 106</t>
  </si>
  <si>
    <t>106-16-000004</t>
  </si>
  <si>
    <t>July</t>
  </si>
  <si>
    <t>SIP Infrastructure Project works</t>
  </si>
  <si>
    <t>P3158</t>
  </si>
  <si>
    <t>Naveena D G</t>
  </si>
  <si>
    <t>Construction of Shelter and Power Connection For Shredder in Ambedkar Ground Park</t>
  </si>
  <si>
    <t>106-17-000066</t>
  </si>
  <si>
    <t>M and R to Street Lights - Replacement of Burnt Bulbs etc. (Package)</t>
  </si>
  <si>
    <t>P0300</t>
  </si>
  <si>
    <t>Sai Electric Com</t>
  </si>
  <si>
    <t>Annual Operation And maintenance Of Street Lights at Dr. Rajkumar in Ward No- 106</t>
  </si>
  <si>
    <t>106-16-000001</t>
  </si>
  <si>
    <t>Executive Engineer-2, KRIL</t>
  </si>
  <si>
    <t>Improvement and development works in Banashankari park in ward no 106</t>
  </si>
  <si>
    <t>106-17-000011</t>
  </si>
  <si>
    <t>Improvements to bad concrete road in Kanteerva colony approaching Veerabhadraiah school road beside road in ward no-106</t>
  </si>
  <si>
    <t>106-18-000025</t>
  </si>
  <si>
    <t>106-11-000001</t>
  </si>
  <si>
    <t>October</t>
  </si>
  <si>
    <t>106-17-000065</t>
  </si>
  <si>
    <t>Purchase of Shredder in Ambedkar Ground Park</t>
  </si>
  <si>
    <t>106-18-000034</t>
  </si>
  <si>
    <t>Construction of RO plant at ward njurisdiction in ward no 106 Dr Rajkumar ward</t>
  </si>
  <si>
    <t>November</t>
  </si>
  <si>
    <t>106-18-000047</t>
  </si>
  <si>
    <t>Maintenance of BBMP office in ward no 106</t>
  </si>
  <si>
    <t>P3291</t>
  </si>
  <si>
    <t>14th Fin -Maintenance of Cremotorium, Burial Grounds</t>
  </si>
  <si>
    <t>December</t>
  </si>
  <si>
    <t>106-18-000054</t>
  </si>
  <si>
    <t>Providing rain water harvesting pits to parks in Dr Rajkumar in ward no-106</t>
  </si>
  <si>
    <t xml:space="preserve">Technical Manager West KRIDL </t>
  </si>
  <si>
    <t>P3210</t>
  </si>
  <si>
    <t>Rain Water Harvesting in All Parks</t>
  </si>
  <si>
    <t>106-17-000046</t>
  </si>
  <si>
    <t>Improvements to compound wall, other civil balance works at Police Colony and Surrounding Areas in ward no. 106</t>
  </si>
  <si>
    <t>Muralidhara C R</t>
  </si>
  <si>
    <t>P3106</t>
  </si>
  <si>
    <t>Nagarothana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</si>
</sst>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workbookViewId="0">
      <selection activeCell="A2" sqref="A2:XFD35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3601</v>
      </c>
      <c r="B2" s="5" t="s">
        <v>31</v>
      </c>
      <c r="C2" s="6">
        <v>43591</v>
      </c>
      <c r="D2" s="7">
        <v>106</v>
      </c>
      <c r="E2" s="8" t="s">
        <v>51</v>
      </c>
      <c r="F2" s="7" t="s">
        <v>52</v>
      </c>
      <c r="G2" s="8" t="s">
        <v>53</v>
      </c>
      <c r="H2" s="7" t="str">
        <f>"000027"</f>
        <v>000027</v>
      </c>
      <c r="I2" s="6">
        <v>42936</v>
      </c>
      <c r="J2" s="7" t="str">
        <f>"000030"</f>
        <v>000030</v>
      </c>
      <c r="K2" s="6">
        <v>42945</v>
      </c>
      <c r="L2" s="7" t="str">
        <f>"000053"</f>
        <v>000053</v>
      </c>
      <c r="M2" s="6">
        <v>42945</v>
      </c>
      <c r="N2" s="7">
        <v>17</v>
      </c>
      <c r="O2" s="7" t="str">
        <f>"001201"</f>
        <v>001201</v>
      </c>
      <c r="P2" s="6">
        <v>43582</v>
      </c>
      <c r="Q2" s="9">
        <v>39.598480000000002</v>
      </c>
      <c r="R2" s="9">
        <v>5.4841899999999999</v>
      </c>
      <c r="S2" s="9">
        <v>34.114289999999997</v>
      </c>
      <c r="T2" s="7">
        <v>37</v>
      </c>
      <c r="U2" s="6">
        <v>43591</v>
      </c>
      <c r="V2" s="7">
        <v>9900000000</v>
      </c>
      <c r="W2" s="8" t="s">
        <v>46</v>
      </c>
      <c r="X2" s="7" t="s">
        <v>34</v>
      </c>
      <c r="Y2" s="8" t="s">
        <v>35</v>
      </c>
      <c r="Z2" s="7" t="s">
        <v>47</v>
      </c>
      <c r="AA2" s="8" t="s">
        <v>48</v>
      </c>
      <c r="AB2" s="9">
        <f t="shared" ref="AB2:AB16" si="0">Q2/100</f>
        <v>0.39598480000000003</v>
      </c>
    </row>
    <row r="3" spans="1:28" x14ac:dyDescent="0.35">
      <c r="A3" s="4">
        <v>3602</v>
      </c>
      <c r="B3" s="5" t="s">
        <v>31</v>
      </c>
      <c r="C3" s="6">
        <v>43591</v>
      </c>
      <c r="D3" s="7">
        <v>106</v>
      </c>
      <c r="E3" s="8" t="s">
        <v>51</v>
      </c>
      <c r="F3" s="7" t="s">
        <v>54</v>
      </c>
      <c r="G3" s="8" t="s">
        <v>55</v>
      </c>
      <c r="H3" s="7" t="str">
        <f>"000037"</f>
        <v>000037</v>
      </c>
      <c r="I3" s="6">
        <v>42872</v>
      </c>
      <c r="J3" s="7" t="str">
        <f>"000038"</f>
        <v>000038</v>
      </c>
      <c r="K3" s="6">
        <v>42963</v>
      </c>
      <c r="L3" s="7" t="str">
        <f>"000060"</f>
        <v>000060</v>
      </c>
      <c r="M3" s="6">
        <v>42966</v>
      </c>
      <c r="N3" s="7">
        <v>17</v>
      </c>
      <c r="O3" s="7" t="str">
        <f>"001270"</f>
        <v>001270</v>
      </c>
      <c r="P3" s="6">
        <v>43587</v>
      </c>
      <c r="Q3" s="9">
        <v>12.384</v>
      </c>
      <c r="R3" s="9">
        <v>0.81820000000000004</v>
      </c>
      <c r="S3" s="9">
        <v>11.565799999999999</v>
      </c>
      <c r="T3" s="7">
        <v>37</v>
      </c>
      <c r="U3" s="6">
        <v>43591</v>
      </c>
      <c r="V3" s="7">
        <v>9035489036</v>
      </c>
      <c r="W3" s="8" t="s">
        <v>50</v>
      </c>
      <c r="X3" s="7" t="s">
        <v>29</v>
      </c>
      <c r="Y3" s="8" t="s">
        <v>30</v>
      </c>
      <c r="Z3" s="7" t="s">
        <v>47</v>
      </c>
      <c r="AA3" s="8" t="s">
        <v>48</v>
      </c>
      <c r="AB3" s="9">
        <f t="shared" si="0"/>
        <v>0.12384000000000001</v>
      </c>
    </row>
    <row r="4" spans="1:28" x14ac:dyDescent="0.35">
      <c r="A4" s="4">
        <v>3603</v>
      </c>
      <c r="B4" s="5" t="s">
        <v>31</v>
      </c>
      <c r="C4" s="6">
        <v>43591</v>
      </c>
      <c r="D4" s="7">
        <v>106</v>
      </c>
      <c r="E4" s="8" t="s">
        <v>51</v>
      </c>
      <c r="F4" s="7" t="s">
        <v>56</v>
      </c>
      <c r="G4" s="8" t="s">
        <v>57</v>
      </c>
      <c r="H4" s="7" t="str">
        <f>"000034"</f>
        <v>000034</v>
      </c>
      <c r="I4" s="6">
        <v>42872</v>
      </c>
      <c r="J4" s="7" t="str">
        <f>"000036"</f>
        <v>000036</v>
      </c>
      <c r="K4" s="6">
        <v>42963</v>
      </c>
      <c r="L4" s="7" t="str">
        <f>"000062"</f>
        <v>000062</v>
      </c>
      <c r="M4" s="6">
        <v>42966</v>
      </c>
      <c r="N4" s="7">
        <v>17</v>
      </c>
      <c r="O4" s="7" t="str">
        <f>"001272"</f>
        <v>001272</v>
      </c>
      <c r="P4" s="6">
        <v>43587</v>
      </c>
      <c r="Q4" s="9">
        <v>19.064800000000002</v>
      </c>
      <c r="R4" s="9">
        <v>1.2586999999999999</v>
      </c>
      <c r="S4" s="9">
        <v>17.806100000000001</v>
      </c>
      <c r="T4" s="7">
        <v>37</v>
      </c>
      <c r="U4" s="6">
        <v>43591</v>
      </c>
      <c r="V4" s="7">
        <v>9035489036</v>
      </c>
      <c r="W4" s="8" t="s">
        <v>50</v>
      </c>
      <c r="X4" s="7" t="s">
        <v>29</v>
      </c>
      <c r="Y4" s="8" t="s">
        <v>30</v>
      </c>
      <c r="Z4" s="7" t="s">
        <v>47</v>
      </c>
      <c r="AA4" s="8" t="s">
        <v>48</v>
      </c>
      <c r="AB4" s="9">
        <f t="shared" si="0"/>
        <v>0.19064800000000001</v>
      </c>
    </row>
    <row r="5" spans="1:28" x14ac:dyDescent="0.35">
      <c r="A5" s="4">
        <v>3604</v>
      </c>
      <c r="B5" s="5" t="s">
        <v>31</v>
      </c>
      <c r="C5" s="6">
        <v>43591</v>
      </c>
      <c r="D5" s="7">
        <v>106</v>
      </c>
      <c r="E5" s="8" t="s">
        <v>51</v>
      </c>
      <c r="F5" s="7" t="s">
        <v>58</v>
      </c>
      <c r="G5" s="8" t="s">
        <v>59</v>
      </c>
      <c r="H5" s="7" t="str">
        <f>"000030"</f>
        <v>000030</v>
      </c>
      <c r="I5" s="6">
        <v>42872</v>
      </c>
      <c r="J5" s="7" t="str">
        <f>"000040"</f>
        <v>000040</v>
      </c>
      <c r="K5" s="6">
        <v>42963</v>
      </c>
      <c r="L5" s="7" t="str">
        <f>"000063"</f>
        <v>000063</v>
      </c>
      <c r="M5" s="6">
        <v>42966</v>
      </c>
      <c r="N5" s="7">
        <v>17</v>
      </c>
      <c r="O5" s="7" t="str">
        <f>"001273"</f>
        <v>001273</v>
      </c>
      <c r="P5" s="6">
        <v>43587</v>
      </c>
      <c r="Q5" s="9">
        <v>19.047499999999999</v>
      </c>
      <c r="R5" s="9">
        <v>1.2576000000000001</v>
      </c>
      <c r="S5" s="9">
        <v>17.789899999999999</v>
      </c>
      <c r="T5" s="7">
        <v>37</v>
      </c>
      <c r="U5" s="6">
        <v>43591</v>
      </c>
      <c r="V5" s="7">
        <v>9035489036</v>
      </c>
      <c r="W5" s="8" t="s">
        <v>50</v>
      </c>
      <c r="X5" s="7" t="s">
        <v>29</v>
      </c>
      <c r="Y5" s="8" t="s">
        <v>30</v>
      </c>
      <c r="Z5" s="7" t="s">
        <v>47</v>
      </c>
      <c r="AA5" s="8" t="s">
        <v>48</v>
      </c>
      <c r="AB5" s="9">
        <f t="shared" si="0"/>
        <v>0.19047500000000001</v>
      </c>
    </row>
    <row r="6" spans="1:28" x14ac:dyDescent="0.35">
      <c r="A6" s="4">
        <v>3605</v>
      </c>
      <c r="B6" s="5" t="s">
        <v>31</v>
      </c>
      <c r="C6" s="6">
        <v>43591</v>
      </c>
      <c r="D6" s="7">
        <v>106</v>
      </c>
      <c r="E6" s="8" t="s">
        <v>51</v>
      </c>
      <c r="F6" s="7" t="s">
        <v>60</v>
      </c>
      <c r="G6" s="8" t="s">
        <v>61</v>
      </c>
      <c r="H6" s="7" t="str">
        <f>"000111"</f>
        <v>000111</v>
      </c>
      <c r="I6" s="6">
        <v>42460</v>
      </c>
      <c r="J6" s="7" t="str">
        <f>"000039"</f>
        <v>000039</v>
      </c>
      <c r="K6" s="6">
        <v>42963</v>
      </c>
      <c r="L6" s="7" t="str">
        <f>"000064"</f>
        <v>000064</v>
      </c>
      <c r="M6" s="6">
        <v>42966</v>
      </c>
      <c r="N6" s="7">
        <v>16</v>
      </c>
      <c r="O6" s="7" t="str">
        <f>"001274"</f>
        <v>001274</v>
      </c>
      <c r="P6" s="6">
        <v>43587</v>
      </c>
      <c r="Q6" s="9">
        <v>18.584399999999999</v>
      </c>
      <c r="R6" s="9">
        <v>1.4126799999999999</v>
      </c>
      <c r="S6" s="9">
        <v>17.171720000000001</v>
      </c>
      <c r="T6" s="7">
        <v>37</v>
      </c>
      <c r="U6" s="6">
        <v>43591</v>
      </c>
      <c r="V6" s="7">
        <v>9900909997</v>
      </c>
      <c r="W6" s="8" t="s">
        <v>62</v>
      </c>
      <c r="X6" s="7" t="s">
        <v>29</v>
      </c>
      <c r="Y6" s="8" t="s">
        <v>30</v>
      </c>
      <c r="Z6" s="7" t="s">
        <v>47</v>
      </c>
      <c r="AA6" s="8" t="s">
        <v>48</v>
      </c>
      <c r="AB6" s="9">
        <f t="shared" si="0"/>
        <v>0.18584399999999998</v>
      </c>
    </row>
    <row r="7" spans="1:28" x14ac:dyDescent="0.35">
      <c r="A7" s="4">
        <v>3606</v>
      </c>
      <c r="B7" s="5" t="s">
        <v>31</v>
      </c>
      <c r="C7" s="6">
        <v>43591</v>
      </c>
      <c r="D7" s="7">
        <v>106</v>
      </c>
      <c r="E7" s="8" t="s">
        <v>51</v>
      </c>
      <c r="F7" s="7" t="s">
        <v>63</v>
      </c>
      <c r="G7" s="8" t="s">
        <v>64</v>
      </c>
      <c r="H7" s="7" t="str">
        <f>"000018"</f>
        <v>000018</v>
      </c>
      <c r="I7" s="6">
        <v>42857</v>
      </c>
      <c r="J7" s="7" t="str">
        <f>"000046"</f>
        <v>000046</v>
      </c>
      <c r="K7" s="6">
        <v>42970</v>
      </c>
      <c r="L7" s="7" t="str">
        <f>"000067"</f>
        <v>000067</v>
      </c>
      <c r="M7" s="6">
        <v>42975</v>
      </c>
      <c r="N7" s="7">
        <v>17</v>
      </c>
      <c r="O7" s="7" t="str">
        <f>"001294"</f>
        <v>001294</v>
      </c>
      <c r="P7" s="6">
        <v>43587</v>
      </c>
      <c r="Q7" s="9">
        <v>18.794879999999999</v>
      </c>
      <c r="R7" s="9">
        <v>1.3770500000000001</v>
      </c>
      <c r="S7" s="9">
        <v>17.417829999999999</v>
      </c>
      <c r="T7" s="7">
        <v>37</v>
      </c>
      <c r="U7" s="6">
        <v>43591</v>
      </c>
      <c r="V7" s="7">
        <v>9066581199</v>
      </c>
      <c r="W7" s="8" t="s">
        <v>65</v>
      </c>
      <c r="X7" s="7" t="s">
        <v>29</v>
      </c>
      <c r="Y7" s="8" t="s">
        <v>30</v>
      </c>
      <c r="Z7" s="7" t="s">
        <v>47</v>
      </c>
      <c r="AA7" s="8" t="s">
        <v>48</v>
      </c>
      <c r="AB7" s="9">
        <f t="shared" si="0"/>
        <v>0.1879488</v>
      </c>
    </row>
    <row r="8" spans="1:28" x14ac:dyDescent="0.35">
      <c r="A8" s="4">
        <v>3607</v>
      </c>
      <c r="B8" s="5" t="s">
        <v>31</v>
      </c>
      <c r="C8" s="6">
        <v>43591</v>
      </c>
      <c r="D8" s="7">
        <v>106</v>
      </c>
      <c r="E8" s="8" t="s">
        <v>51</v>
      </c>
      <c r="F8" s="7" t="s">
        <v>66</v>
      </c>
      <c r="G8" s="8" t="s">
        <v>67</v>
      </c>
      <c r="H8" s="7" t="str">
        <f>"000019"</f>
        <v>000019</v>
      </c>
      <c r="I8" s="6">
        <v>42857</v>
      </c>
      <c r="J8" s="7" t="str">
        <f>"000045"</f>
        <v>000045</v>
      </c>
      <c r="K8" s="6">
        <v>42970</v>
      </c>
      <c r="L8" s="7" t="str">
        <f>"000068"</f>
        <v>000068</v>
      </c>
      <c r="M8" s="6">
        <v>42975</v>
      </c>
      <c r="N8" s="7">
        <v>17</v>
      </c>
      <c r="O8" s="7" t="str">
        <f>"001295"</f>
        <v>001295</v>
      </c>
      <c r="P8" s="6">
        <v>43587</v>
      </c>
      <c r="Q8" s="9">
        <v>18.789370000000002</v>
      </c>
      <c r="R8" s="9">
        <v>1.37666</v>
      </c>
      <c r="S8" s="9">
        <v>17.412710000000001</v>
      </c>
      <c r="T8" s="7">
        <v>37</v>
      </c>
      <c r="U8" s="6">
        <v>43591</v>
      </c>
      <c r="V8" s="7">
        <v>9066581199</v>
      </c>
      <c r="W8" s="8" t="s">
        <v>68</v>
      </c>
      <c r="X8" s="7" t="s">
        <v>29</v>
      </c>
      <c r="Y8" s="8" t="s">
        <v>30</v>
      </c>
      <c r="Z8" s="7" t="s">
        <v>47</v>
      </c>
      <c r="AA8" s="8" t="s">
        <v>48</v>
      </c>
      <c r="AB8" s="9">
        <f t="shared" si="0"/>
        <v>0.18789370000000002</v>
      </c>
    </row>
    <row r="9" spans="1:28" x14ac:dyDescent="0.35">
      <c r="A9" s="4">
        <v>3608</v>
      </c>
      <c r="B9" s="5" t="s">
        <v>31</v>
      </c>
      <c r="C9" s="6">
        <v>43591</v>
      </c>
      <c r="D9" s="7">
        <v>106</v>
      </c>
      <c r="E9" s="8" t="s">
        <v>51</v>
      </c>
      <c r="F9" s="7" t="s">
        <v>136</v>
      </c>
      <c r="G9" s="8" t="s">
        <v>69</v>
      </c>
      <c r="H9" s="7" t="str">
        <f>"00*021"</f>
        <v>00*021</v>
      </c>
      <c r="I9" s="6">
        <v>40061</v>
      </c>
      <c r="J9" s="7" t="str">
        <f>"000077"</f>
        <v>000077</v>
      </c>
      <c r="K9" s="6">
        <v>42579</v>
      </c>
      <c r="L9" s="7" t="str">
        <f>"568"</f>
        <v>568</v>
      </c>
      <c r="M9" s="6">
        <v>16</v>
      </c>
      <c r="N9" s="7">
        <v>11</v>
      </c>
      <c r="O9" s="7" t="str">
        <f>"001215"</f>
        <v>001215</v>
      </c>
      <c r="P9" s="6">
        <v>43584</v>
      </c>
      <c r="Q9" s="9">
        <v>13.012499999999999</v>
      </c>
      <c r="R9" s="9">
        <v>2.12852</v>
      </c>
      <c r="S9" s="9">
        <v>10.883979999999999</v>
      </c>
      <c r="T9" s="7">
        <v>38</v>
      </c>
      <c r="U9" s="6">
        <v>43591</v>
      </c>
      <c r="V9" s="7">
        <v>9860739925</v>
      </c>
      <c r="W9" s="8" t="s">
        <v>70</v>
      </c>
      <c r="X9" s="7" t="s">
        <v>71</v>
      </c>
      <c r="Y9" s="8" t="s">
        <v>72</v>
      </c>
      <c r="Z9" s="7" t="s">
        <v>73</v>
      </c>
      <c r="AA9" s="8" t="s">
        <v>74</v>
      </c>
      <c r="AB9" s="9">
        <f t="shared" si="0"/>
        <v>0.13012499999999999</v>
      </c>
    </row>
    <row r="10" spans="1:28" x14ac:dyDescent="0.35">
      <c r="A10" s="4">
        <v>3609</v>
      </c>
      <c r="B10" s="5" t="s">
        <v>31</v>
      </c>
      <c r="C10" s="6">
        <v>43591</v>
      </c>
      <c r="D10" s="7">
        <v>106</v>
      </c>
      <c r="E10" s="8" t="s">
        <v>51</v>
      </c>
      <c r="F10" s="7" t="s">
        <v>75</v>
      </c>
      <c r="G10" s="8" t="s">
        <v>76</v>
      </c>
      <c r="H10" s="7" t="str">
        <f>"000382"</f>
        <v>000382</v>
      </c>
      <c r="I10" s="6">
        <v>43186</v>
      </c>
      <c r="J10" s="7" t="str">
        <f>"000111"</f>
        <v>000111</v>
      </c>
      <c r="K10" s="6">
        <v>43444</v>
      </c>
      <c r="L10" s="7" t="str">
        <f>"000172"</f>
        <v>000172</v>
      </c>
      <c r="M10" s="6">
        <v>43456</v>
      </c>
      <c r="N10" s="7">
        <v>18</v>
      </c>
      <c r="O10" s="7" t="str">
        <f>"001252"</f>
        <v>001252</v>
      </c>
      <c r="P10" s="6">
        <v>43587</v>
      </c>
      <c r="Q10" s="9">
        <v>49.887500000000003</v>
      </c>
      <c r="R10" s="9">
        <v>6.8234000000000004</v>
      </c>
      <c r="S10" s="9">
        <v>43.064100000000003</v>
      </c>
      <c r="T10" s="7">
        <v>39</v>
      </c>
      <c r="U10" s="6">
        <v>43591</v>
      </c>
      <c r="V10" s="7">
        <v>9900000000</v>
      </c>
      <c r="W10" s="8" t="s">
        <v>46</v>
      </c>
      <c r="X10" s="7" t="s">
        <v>44</v>
      </c>
      <c r="Y10" s="8" t="s">
        <v>45</v>
      </c>
      <c r="Z10" s="7" t="s">
        <v>47</v>
      </c>
      <c r="AA10" s="8" t="s">
        <v>48</v>
      </c>
      <c r="AB10" s="9">
        <f t="shared" si="0"/>
        <v>0.49887500000000001</v>
      </c>
    </row>
    <row r="11" spans="1:28" x14ac:dyDescent="0.35">
      <c r="A11" s="4">
        <v>3610</v>
      </c>
      <c r="B11" s="5" t="s">
        <v>31</v>
      </c>
      <c r="C11" s="6">
        <v>43598</v>
      </c>
      <c r="D11" s="7">
        <v>106</v>
      </c>
      <c r="E11" s="8" t="s">
        <v>51</v>
      </c>
      <c r="F11" s="7" t="s">
        <v>77</v>
      </c>
      <c r="G11" s="8" t="s">
        <v>78</v>
      </c>
      <c r="H11" s="7" t="str">
        <f>"000276"</f>
        <v>000276</v>
      </c>
      <c r="I11" s="6">
        <v>43343</v>
      </c>
      <c r="J11" s="7" t="str">
        <f>"000131"</f>
        <v>000131</v>
      </c>
      <c r="K11" s="6">
        <v>43521</v>
      </c>
      <c r="L11" s="7" t="str">
        <f>"000001"</f>
        <v>000001</v>
      </c>
      <c r="M11" s="6">
        <v>43563</v>
      </c>
      <c r="N11" s="7">
        <v>18</v>
      </c>
      <c r="O11" s="7" t="str">
        <f>"001422"</f>
        <v>001422</v>
      </c>
      <c r="P11" s="6">
        <v>43595</v>
      </c>
      <c r="Q11" s="9">
        <v>5</v>
      </c>
      <c r="R11" s="9">
        <v>0.63385999999999998</v>
      </c>
      <c r="S11" s="9">
        <v>4.3661399999999997</v>
      </c>
      <c r="T11" s="7">
        <v>41</v>
      </c>
      <c r="U11" s="6">
        <v>43598</v>
      </c>
      <c r="V11" s="7">
        <v>9900000000</v>
      </c>
      <c r="W11" s="8" t="s">
        <v>46</v>
      </c>
      <c r="X11" s="7" t="s">
        <v>36</v>
      </c>
      <c r="Y11" s="8" t="s">
        <v>37</v>
      </c>
      <c r="Z11" s="7" t="s">
        <v>47</v>
      </c>
      <c r="AA11" s="8" t="s">
        <v>48</v>
      </c>
      <c r="AB11" s="9">
        <f t="shared" si="0"/>
        <v>0.05</v>
      </c>
    </row>
    <row r="12" spans="1:28" x14ac:dyDescent="0.35">
      <c r="A12" s="4">
        <v>3611</v>
      </c>
      <c r="B12" s="5" t="s">
        <v>31</v>
      </c>
      <c r="C12" s="6">
        <v>43598</v>
      </c>
      <c r="D12" s="7">
        <v>106</v>
      </c>
      <c r="E12" s="8" t="s">
        <v>51</v>
      </c>
      <c r="F12" s="7" t="s">
        <v>79</v>
      </c>
      <c r="G12" s="8" t="s">
        <v>80</v>
      </c>
      <c r="H12" s="7" t="str">
        <f>"000277"</f>
        <v>000277</v>
      </c>
      <c r="I12" s="6">
        <v>43343</v>
      </c>
      <c r="J12" s="7" t="str">
        <f>"000132"</f>
        <v>000132</v>
      </c>
      <c r="K12" s="6">
        <v>43521</v>
      </c>
      <c r="L12" s="7" t="str">
        <f>"000002"</f>
        <v>000002</v>
      </c>
      <c r="M12" s="6">
        <v>43563</v>
      </c>
      <c r="N12" s="7">
        <v>18</v>
      </c>
      <c r="O12" s="7" t="str">
        <f>"001423"</f>
        <v>001423</v>
      </c>
      <c r="P12" s="6">
        <v>43595</v>
      </c>
      <c r="Q12" s="9">
        <v>14.98785</v>
      </c>
      <c r="R12" s="9">
        <v>1.9331100000000001</v>
      </c>
      <c r="S12" s="9">
        <v>13.054740000000001</v>
      </c>
      <c r="T12" s="7">
        <v>41</v>
      </c>
      <c r="U12" s="6">
        <v>43598</v>
      </c>
      <c r="V12" s="7">
        <v>9900000000</v>
      </c>
      <c r="W12" s="8" t="s">
        <v>46</v>
      </c>
      <c r="X12" s="7" t="s">
        <v>32</v>
      </c>
      <c r="Y12" s="8" t="s">
        <v>33</v>
      </c>
      <c r="Z12" s="7" t="s">
        <v>47</v>
      </c>
      <c r="AA12" s="8" t="s">
        <v>48</v>
      </c>
      <c r="AB12" s="9">
        <f t="shared" si="0"/>
        <v>0.1498785</v>
      </c>
    </row>
    <row r="13" spans="1:28" x14ac:dyDescent="0.35">
      <c r="A13" s="4">
        <v>3612</v>
      </c>
      <c r="B13" s="5" t="s">
        <v>31</v>
      </c>
      <c r="C13" s="6">
        <v>43598</v>
      </c>
      <c r="D13" s="7">
        <v>106</v>
      </c>
      <c r="E13" s="8" t="s">
        <v>51</v>
      </c>
      <c r="F13" s="7" t="s">
        <v>81</v>
      </c>
      <c r="G13" s="8" t="s">
        <v>82</v>
      </c>
      <c r="H13" s="7" t="str">
        <f>"000466"</f>
        <v>000466</v>
      </c>
      <c r="I13" s="6">
        <v>43544</v>
      </c>
      <c r="J13" s="7" t="str">
        <f>"000147"</f>
        <v>000147</v>
      </c>
      <c r="K13" s="6">
        <v>43544</v>
      </c>
      <c r="L13" s="7" t="str">
        <f>"000003"</f>
        <v>000003</v>
      </c>
      <c r="M13" s="6">
        <v>43563</v>
      </c>
      <c r="N13" s="7">
        <v>18</v>
      </c>
      <c r="O13" s="7" t="str">
        <f>"001424"</f>
        <v>001424</v>
      </c>
      <c r="P13" s="6">
        <v>43595</v>
      </c>
      <c r="Q13" s="9">
        <v>14.68421</v>
      </c>
      <c r="R13" s="9">
        <v>1.8879600000000001</v>
      </c>
      <c r="S13" s="9">
        <v>12.796250000000001</v>
      </c>
      <c r="T13" s="7">
        <v>41</v>
      </c>
      <c r="U13" s="6">
        <v>43598</v>
      </c>
      <c r="V13" s="7">
        <v>9449863068</v>
      </c>
      <c r="W13" s="8" t="s">
        <v>49</v>
      </c>
      <c r="X13" s="7" t="s">
        <v>40</v>
      </c>
      <c r="Y13" s="8" t="s">
        <v>41</v>
      </c>
      <c r="Z13" s="7" t="s">
        <v>47</v>
      </c>
      <c r="AA13" s="8" t="s">
        <v>48</v>
      </c>
      <c r="AB13" s="9">
        <f t="shared" si="0"/>
        <v>0.1468421</v>
      </c>
    </row>
    <row r="14" spans="1:28" x14ac:dyDescent="0.35">
      <c r="A14" s="4">
        <v>3613</v>
      </c>
      <c r="B14" s="5" t="s">
        <v>31</v>
      </c>
      <c r="C14" s="6">
        <v>43603</v>
      </c>
      <c r="D14" s="7">
        <v>106</v>
      </c>
      <c r="E14" s="8" t="s">
        <v>51</v>
      </c>
      <c r="F14" s="7" t="s">
        <v>83</v>
      </c>
      <c r="G14" s="8" t="s">
        <v>84</v>
      </c>
      <c r="H14" s="7" t="str">
        <f>"000032"</f>
        <v>000032</v>
      </c>
      <c r="I14" s="6">
        <v>42872</v>
      </c>
      <c r="J14" s="7" t="str">
        <f>"000092"</f>
        <v>000092</v>
      </c>
      <c r="K14" s="6">
        <v>43014</v>
      </c>
      <c r="L14" s="7" t="str">
        <f>"000081"</f>
        <v>000081</v>
      </c>
      <c r="M14" s="6">
        <v>43024</v>
      </c>
      <c r="N14" s="7">
        <v>17</v>
      </c>
      <c r="O14" s="7" t="str">
        <f>"001695"</f>
        <v>001695</v>
      </c>
      <c r="P14" s="6">
        <v>43602</v>
      </c>
      <c r="Q14" s="9">
        <v>19.020569999999999</v>
      </c>
      <c r="R14" s="9">
        <v>1.19082</v>
      </c>
      <c r="S14" s="9">
        <v>17.829750000000001</v>
      </c>
      <c r="T14" s="7">
        <v>50</v>
      </c>
      <c r="U14" s="6">
        <v>43603</v>
      </c>
      <c r="V14" s="7">
        <v>9886307090</v>
      </c>
      <c r="W14" s="8" t="s">
        <v>50</v>
      </c>
      <c r="X14" s="7" t="s">
        <v>29</v>
      </c>
      <c r="Y14" s="8" t="s">
        <v>30</v>
      </c>
      <c r="Z14" s="7" t="s">
        <v>47</v>
      </c>
      <c r="AA14" s="8" t="s">
        <v>48</v>
      </c>
      <c r="AB14" s="9">
        <f t="shared" si="0"/>
        <v>0.19020570000000001</v>
      </c>
    </row>
    <row r="15" spans="1:28" x14ac:dyDescent="0.35">
      <c r="A15" s="4">
        <v>3614</v>
      </c>
      <c r="B15" s="5" t="s">
        <v>31</v>
      </c>
      <c r="C15" s="6">
        <v>43610</v>
      </c>
      <c r="D15" s="7">
        <v>106</v>
      </c>
      <c r="E15" s="8" t="s">
        <v>51</v>
      </c>
      <c r="F15" s="7" t="s">
        <v>85</v>
      </c>
      <c r="G15" s="8" t="s">
        <v>86</v>
      </c>
      <c r="H15" s="7" t="str">
        <f>"000019"</f>
        <v>000019</v>
      </c>
      <c r="I15" s="6">
        <v>42888</v>
      </c>
      <c r="J15" s="7" t="str">
        <f>"000104"</f>
        <v>000104</v>
      </c>
      <c r="K15" s="6">
        <v>43153</v>
      </c>
      <c r="L15" s="7" t="str">
        <f>"000119"</f>
        <v>000119</v>
      </c>
      <c r="M15" s="6">
        <v>43153</v>
      </c>
      <c r="N15" s="7">
        <v>17</v>
      </c>
      <c r="O15" s="7" t="str">
        <f>"002050"</f>
        <v>002050</v>
      </c>
      <c r="P15" s="6">
        <v>43609</v>
      </c>
      <c r="Q15" s="9">
        <v>79.917599999999993</v>
      </c>
      <c r="R15" s="9">
        <v>6.5583200000000001</v>
      </c>
      <c r="S15" s="9">
        <v>73.359279999999998</v>
      </c>
      <c r="T15" s="7">
        <v>59</v>
      </c>
      <c r="U15" s="6">
        <v>43610</v>
      </c>
      <c r="V15" s="7">
        <v>9449051717</v>
      </c>
      <c r="W15" s="8" t="s">
        <v>49</v>
      </c>
      <c r="X15" s="7" t="s">
        <v>38</v>
      </c>
      <c r="Y15" s="8" t="s">
        <v>39</v>
      </c>
      <c r="Z15" s="7" t="s">
        <v>42</v>
      </c>
      <c r="AA15" s="8" t="s">
        <v>43</v>
      </c>
      <c r="AB15" s="9">
        <f t="shared" si="0"/>
        <v>0.79917599999999989</v>
      </c>
    </row>
    <row r="16" spans="1:28" x14ac:dyDescent="0.35">
      <c r="A16" s="4">
        <v>3615</v>
      </c>
      <c r="B16" s="5" t="s">
        <v>31</v>
      </c>
      <c r="C16" s="6">
        <v>43615</v>
      </c>
      <c r="D16" s="7">
        <v>106</v>
      </c>
      <c r="E16" s="8" t="s">
        <v>51</v>
      </c>
      <c r="F16" s="7" t="s">
        <v>87</v>
      </c>
      <c r="G16" s="8" t="s">
        <v>88</v>
      </c>
      <c r="H16" s="7" t="str">
        <f>"000031"</f>
        <v>000031</v>
      </c>
      <c r="I16" s="6">
        <v>42872</v>
      </c>
      <c r="J16" s="7" t="str">
        <f>"000096"</f>
        <v>000096</v>
      </c>
      <c r="K16" s="6">
        <v>43056</v>
      </c>
      <c r="L16" s="7" t="str">
        <f>"000089"</f>
        <v>000089</v>
      </c>
      <c r="M16" s="6">
        <v>43056</v>
      </c>
      <c r="N16" s="7">
        <v>17</v>
      </c>
      <c r="O16" s="7" t="str">
        <f>"002150"</f>
        <v>002150</v>
      </c>
      <c r="P16" s="6">
        <v>43613</v>
      </c>
      <c r="Q16" s="9">
        <v>9.9310399999999994</v>
      </c>
      <c r="R16" s="9">
        <v>0.44207000000000002</v>
      </c>
      <c r="S16" s="9">
        <v>9.4889700000000001</v>
      </c>
      <c r="T16" s="7">
        <v>65</v>
      </c>
      <c r="U16" s="6">
        <v>43615</v>
      </c>
      <c r="V16" s="7">
        <v>9886307090</v>
      </c>
      <c r="W16" s="8" t="s">
        <v>50</v>
      </c>
      <c r="X16" s="7" t="s">
        <v>29</v>
      </c>
      <c r="Y16" s="8" t="s">
        <v>30</v>
      </c>
      <c r="Z16" s="7" t="s">
        <v>47</v>
      </c>
      <c r="AA16" s="8" t="s">
        <v>48</v>
      </c>
      <c r="AB16" s="9">
        <f t="shared" si="0"/>
        <v>9.9310399999999993E-2</v>
      </c>
    </row>
    <row r="17" spans="1:28" x14ac:dyDescent="0.35">
      <c r="A17" s="4">
        <v>3616</v>
      </c>
      <c r="B17" s="5" t="s">
        <v>28</v>
      </c>
      <c r="C17" s="6">
        <v>43617</v>
      </c>
      <c r="D17" s="7">
        <v>106</v>
      </c>
      <c r="E17" s="8" t="s">
        <v>51</v>
      </c>
      <c r="F17" s="7" t="s">
        <v>89</v>
      </c>
      <c r="G17" s="8" t="s">
        <v>90</v>
      </c>
      <c r="H17" s="7" t="str">
        <f>"000189"</f>
        <v>000189</v>
      </c>
      <c r="I17" s="6">
        <v>43137</v>
      </c>
      <c r="J17" s="7" t="str">
        <f>"000120"</f>
        <v>000120</v>
      </c>
      <c r="K17" s="6">
        <v>43467</v>
      </c>
      <c r="L17" s="7" t="str">
        <f>"000178"</f>
        <v>000178</v>
      </c>
      <c r="M17" s="6">
        <v>43473</v>
      </c>
      <c r="N17" s="7">
        <v>18</v>
      </c>
      <c r="O17" s="7" t="str">
        <f>"001903"</f>
        <v>001903</v>
      </c>
      <c r="P17" s="6">
        <v>43607</v>
      </c>
      <c r="Q17" s="9">
        <v>9.9825999999999997</v>
      </c>
      <c r="R17" s="9">
        <v>1.44618</v>
      </c>
      <c r="S17" s="9">
        <v>8.5364199999999997</v>
      </c>
      <c r="T17" s="7">
        <v>67</v>
      </c>
      <c r="U17" s="6">
        <v>43617</v>
      </c>
      <c r="V17" s="7">
        <v>9900000000</v>
      </c>
      <c r="W17" s="8" t="s">
        <v>46</v>
      </c>
      <c r="X17" s="7" t="s">
        <v>44</v>
      </c>
      <c r="Y17" s="8" t="s">
        <v>45</v>
      </c>
      <c r="Z17" s="7" t="s">
        <v>47</v>
      </c>
      <c r="AA17" s="8" t="s">
        <v>48</v>
      </c>
      <c r="AB17" s="9">
        <v>9.9825999999999998E-2</v>
      </c>
    </row>
    <row r="18" spans="1:28" x14ac:dyDescent="0.35">
      <c r="A18" s="4">
        <v>3617</v>
      </c>
      <c r="B18" s="5" t="s">
        <v>28</v>
      </c>
      <c r="C18" s="6">
        <v>43628</v>
      </c>
      <c r="D18" s="7">
        <v>106</v>
      </c>
      <c r="E18" s="8" t="s">
        <v>51</v>
      </c>
      <c r="F18" s="7" t="s">
        <v>91</v>
      </c>
      <c r="G18" s="8" t="s">
        <v>92</v>
      </c>
      <c r="H18" s="7" t="str">
        <f>"000083"</f>
        <v>000083</v>
      </c>
      <c r="I18" s="6">
        <v>43076</v>
      </c>
      <c r="J18" s="7" t="str">
        <f>"000107"</f>
        <v>000107</v>
      </c>
      <c r="K18" s="6">
        <v>43078</v>
      </c>
      <c r="L18" s="7" t="str">
        <f>"000102"</f>
        <v>000102</v>
      </c>
      <c r="M18" s="6">
        <v>43083</v>
      </c>
      <c r="N18" s="7">
        <v>17</v>
      </c>
      <c r="O18" s="7" t="str">
        <f>"002570"</f>
        <v>002570</v>
      </c>
      <c r="P18" s="6">
        <v>43627</v>
      </c>
      <c r="Q18" s="9">
        <v>29.75413</v>
      </c>
      <c r="R18" s="9">
        <v>4.1191599999999999</v>
      </c>
      <c r="S18" s="9">
        <v>25.634969999999999</v>
      </c>
      <c r="T18" s="7">
        <v>76</v>
      </c>
      <c r="U18" s="6">
        <v>43628</v>
      </c>
      <c r="V18" s="7">
        <v>9900000000</v>
      </c>
      <c r="W18" s="8" t="s">
        <v>46</v>
      </c>
      <c r="X18" s="7" t="s">
        <v>34</v>
      </c>
      <c r="Y18" s="8" t="s">
        <v>35</v>
      </c>
      <c r="Z18" s="7" t="s">
        <v>47</v>
      </c>
      <c r="AA18" s="8" t="s">
        <v>48</v>
      </c>
      <c r="AB18" s="9">
        <v>0.29754130000000001</v>
      </c>
    </row>
    <row r="19" spans="1:28" x14ac:dyDescent="0.35">
      <c r="A19" s="4">
        <v>3618</v>
      </c>
      <c r="B19" s="5" t="s">
        <v>120</v>
      </c>
      <c r="C19" s="6">
        <v>43647</v>
      </c>
      <c r="D19" s="7">
        <v>106</v>
      </c>
      <c r="E19" s="8" t="s">
        <v>51</v>
      </c>
      <c r="F19" s="7" t="s">
        <v>135</v>
      </c>
      <c r="G19" s="10" t="s">
        <v>134</v>
      </c>
      <c r="H19" s="7" t="str">
        <f>"000187"</f>
        <v>000187</v>
      </c>
      <c r="I19" s="6">
        <v>43137</v>
      </c>
      <c r="J19" s="7" t="str">
        <f>"000003"</f>
        <v>000003</v>
      </c>
      <c r="K19" s="6">
        <v>43564</v>
      </c>
      <c r="L19" s="7" t="str">
        <f>"000007"</f>
        <v>000007</v>
      </c>
      <c r="M19" s="6">
        <v>43595</v>
      </c>
      <c r="N19" s="7">
        <v>18</v>
      </c>
      <c r="O19" s="7" t="str">
        <f>"002997"</f>
        <v>002997</v>
      </c>
      <c r="P19" s="6">
        <v>43640</v>
      </c>
      <c r="Q19" s="11">
        <v>19.53173</v>
      </c>
      <c r="R19" s="11">
        <v>2.38761</v>
      </c>
      <c r="S19" s="11">
        <v>17.144120000000001</v>
      </c>
      <c r="T19" s="7">
        <v>97</v>
      </c>
      <c r="U19" s="6">
        <v>43647</v>
      </c>
      <c r="V19" s="7">
        <v>9900000000</v>
      </c>
      <c r="W19" s="10" t="s">
        <v>46</v>
      </c>
      <c r="X19" s="7" t="s">
        <v>44</v>
      </c>
      <c r="Y19" s="10" t="s">
        <v>45</v>
      </c>
      <c r="Z19" s="7" t="s">
        <v>47</v>
      </c>
      <c r="AA19" s="10" t="s">
        <v>48</v>
      </c>
      <c r="AB19" s="11">
        <f t="shared" ref="AB19:AB28" si="1">Q19/100</f>
        <v>0.1953173</v>
      </c>
    </row>
    <row r="20" spans="1:28" x14ac:dyDescent="0.35">
      <c r="A20" s="4">
        <v>3619</v>
      </c>
      <c r="B20" s="5" t="s">
        <v>120</v>
      </c>
      <c r="C20" s="6">
        <v>43647</v>
      </c>
      <c r="D20" s="7">
        <v>106</v>
      </c>
      <c r="E20" s="8" t="s">
        <v>51</v>
      </c>
      <c r="F20" s="7" t="s">
        <v>133</v>
      </c>
      <c r="G20" s="10" t="s">
        <v>132</v>
      </c>
      <c r="H20" s="7" t="str">
        <f>"000004"</f>
        <v>000004</v>
      </c>
      <c r="I20" s="6">
        <v>43089</v>
      </c>
      <c r="J20" s="7" t="str">
        <f>"000103"</f>
        <v>000103</v>
      </c>
      <c r="K20" s="6">
        <v>43153</v>
      </c>
      <c r="L20" s="7" t="str">
        <f>"000118"</f>
        <v>000118</v>
      </c>
      <c r="M20" s="6">
        <v>43153</v>
      </c>
      <c r="N20" s="7">
        <v>17</v>
      </c>
      <c r="O20" s="7" t="str">
        <f>"002977"</f>
        <v>002977</v>
      </c>
      <c r="P20" s="6">
        <v>43640</v>
      </c>
      <c r="Q20" s="11">
        <v>24.411200000000001</v>
      </c>
      <c r="R20" s="11">
        <v>2.0272999999999999</v>
      </c>
      <c r="S20" s="11">
        <v>22.383900000000001</v>
      </c>
      <c r="T20" s="7">
        <v>100</v>
      </c>
      <c r="U20" s="6">
        <v>43647</v>
      </c>
      <c r="V20" s="7">
        <v>8073011131</v>
      </c>
      <c r="W20" s="10" t="s">
        <v>131</v>
      </c>
      <c r="X20" s="7" t="s">
        <v>34</v>
      </c>
      <c r="Y20" s="10" t="s">
        <v>35</v>
      </c>
      <c r="Z20" s="7" t="s">
        <v>42</v>
      </c>
      <c r="AA20" s="10" t="s">
        <v>43</v>
      </c>
      <c r="AB20" s="11">
        <f t="shared" si="1"/>
        <v>0.244112</v>
      </c>
    </row>
    <row r="21" spans="1:28" x14ac:dyDescent="0.35">
      <c r="A21" s="4">
        <v>3620</v>
      </c>
      <c r="B21" s="5" t="s">
        <v>120</v>
      </c>
      <c r="C21" s="6">
        <v>43648</v>
      </c>
      <c r="D21" s="7">
        <v>106</v>
      </c>
      <c r="E21" s="8" t="s">
        <v>51</v>
      </c>
      <c r="F21" s="7" t="s">
        <v>130</v>
      </c>
      <c r="G21" s="10" t="s">
        <v>129</v>
      </c>
      <c r="H21" s="7" t="str">
        <f>"000003"</f>
        <v>000003</v>
      </c>
      <c r="I21" s="6">
        <v>42930</v>
      </c>
      <c r="J21" s="7" t="str">
        <f>"000051"</f>
        <v>000051</v>
      </c>
      <c r="K21" s="6">
        <v>43731</v>
      </c>
      <c r="L21" s="7" t="str">
        <f>"000056"</f>
        <v>000056</v>
      </c>
      <c r="M21" s="6">
        <v>43731</v>
      </c>
      <c r="N21" s="7">
        <v>16</v>
      </c>
      <c r="O21" s="7" t="str">
        <f>"005794"</f>
        <v>005794</v>
      </c>
      <c r="P21" s="6">
        <v>43755</v>
      </c>
      <c r="Q21" s="11">
        <v>2.01091</v>
      </c>
      <c r="R21" s="11">
        <v>0.19924</v>
      </c>
      <c r="S21" s="11">
        <v>1.8116699999999999</v>
      </c>
      <c r="T21" s="7">
        <v>102</v>
      </c>
      <c r="U21" s="6">
        <v>43648</v>
      </c>
      <c r="V21" s="7">
        <v>9845351993</v>
      </c>
      <c r="W21" s="10" t="s">
        <v>128</v>
      </c>
      <c r="X21" s="7" t="s">
        <v>127</v>
      </c>
      <c r="Y21" s="10" t="s">
        <v>126</v>
      </c>
      <c r="Z21" s="7" t="s">
        <v>94</v>
      </c>
      <c r="AA21" s="10" t="s">
        <v>93</v>
      </c>
      <c r="AB21" s="11">
        <f t="shared" si="1"/>
        <v>2.0109100000000001E-2</v>
      </c>
    </row>
    <row r="22" spans="1:28" x14ac:dyDescent="0.35">
      <c r="A22" s="4">
        <v>3621</v>
      </c>
      <c r="B22" s="5" t="s">
        <v>120</v>
      </c>
      <c r="C22" s="6">
        <v>43668</v>
      </c>
      <c r="D22" s="7">
        <v>106</v>
      </c>
      <c r="E22" s="8" t="s">
        <v>51</v>
      </c>
      <c r="F22" s="7" t="s">
        <v>125</v>
      </c>
      <c r="G22" s="10" t="s">
        <v>124</v>
      </c>
      <c r="H22" s="7" t="str">
        <f>"000074"</f>
        <v>000074</v>
      </c>
      <c r="I22" s="6">
        <v>43535</v>
      </c>
      <c r="J22" s="7" t="str">
        <f>"000113"</f>
        <v>000113</v>
      </c>
      <c r="K22" s="6">
        <v>43766</v>
      </c>
      <c r="L22" s="7" t="str">
        <f>"000113"</f>
        <v>000113</v>
      </c>
      <c r="M22" s="6">
        <v>43766</v>
      </c>
      <c r="N22" s="7">
        <v>17</v>
      </c>
      <c r="O22" s="7" t="str">
        <f>""</f>
        <v/>
      </c>
      <c r="P22" s="7"/>
      <c r="Q22" s="11">
        <v>4.4015000000000004</v>
      </c>
      <c r="R22" s="11">
        <v>0.40056000000000003</v>
      </c>
      <c r="S22" s="11">
        <v>4.0009399999999999</v>
      </c>
      <c r="T22" s="7">
        <v>120</v>
      </c>
      <c r="U22" s="6">
        <v>43668</v>
      </c>
      <c r="V22" s="7">
        <v>9945614169</v>
      </c>
      <c r="W22" s="10" t="s">
        <v>123</v>
      </c>
      <c r="X22" s="7" t="s">
        <v>122</v>
      </c>
      <c r="Y22" s="10" t="s">
        <v>121</v>
      </c>
      <c r="Z22" s="7" t="s">
        <v>42</v>
      </c>
      <c r="AA22" s="10" t="s">
        <v>43</v>
      </c>
      <c r="AB22" s="11">
        <f t="shared" si="1"/>
        <v>4.4015000000000006E-2</v>
      </c>
    </row>
    <row r="23" spans="1:28" x14ac:dyDescent="0.35">
      <c r="A23" s="4">
        <v>3622</v>
      </c>
      <c r="B23" s="5" t="s">
        <v>120</v>
      </c>
      <c r="C23" s="6">
        <v>43669</v>
      </c>
      <c r="D23" s="7">
        <v>106</v>
      </c>
      <c r="E23" s="8" t="s">
        <v>51</v>
      </c>
      <c r="F23" s="7" t="s">
        <v>119</v>
      </c>
      <c r="G23" s="10" t="s">
        <v>118</v>
      </c>
      <c r="H23" s="7" t="str">
        <f>"000094"</f>
        <v>000094</v>
      </c>
      <c r="I23" s="6">
        <v>42447</v>
      </c>
      <c r="J23" s="7" t="str">
        <f>"000037"</f>
        <v>000037</v>
      </c>
      <c r="K23" s="6">
        <v>42963</v>
      </c>
      <c r="L23" s="7" t="str">
        <f>"000065"</f>
        <v>000065</v>
      </c>
      <c r="M23" s="6">
        <v>42966</v>
      </c>
      <c r="N23" s="7">
        <v>16</v>
      </c>
      <c r="O23" s="7" t="str">
        <f>"003683"</f>
        <v>003683</v>
      </c>
      <c r="P23" s="6">
        <v>43664</v>
      </c>
      <c r="Q23" s="11">
        <v>9.3457000000000008</v>
      </c>
      <c r="R23" s="11">
        <v>0.67159999999999997</v>
      </c>
      <c r="S23" s="11">
        <v>8.6740999999999993</v>
      </c>
      <c r="T23" s="7">
        <v>122</v>
      </c>
      <c r="U23" s="6">
        <v>43669</v>
      </c>
      <c r="V23" s="7">
        <v>8861312743</v>
      </c>
      <c r="W23" s="10" t="s">
        <v>117</v>
      </c>
      <c r="X23" s="7" t="s">
        <v>29</v>
      </c>
      <c r="Y23" s="10" t="s">
        <v>30</v>
      </c>
      <c r="Z23" s="7" t="s">
        <v>47</v>
      </c>
      <c r="AA23" s="10" t="s">
        <v>48</v>
      </c>
      <c r="AB23" s="11">
        <f t="shared" si="1"/>
        <v>9.3457000000000012E-2</v>
      </c>
    </row>
    <row r="24" spans="1:28" x14ac:dyDescent="0.35">
      <c r="A24" s="4">
        <v>3623</v>
      </c>
      <c r="B24" s="5" t="s">
        <v>116</v>
      </c>
      <c r="C24" s="6">
        <v>43685</v>
      </c>
      <c r="D24" s="7">
        <v>106</v>
      </c>
      <c r="E24" s="8" t="s">
        <v>51</v>
      </c>
      <c r="F24" s="7" t="s">
        <v>115</v>
      </c>
      <c r="G24" s="10" t="s">
        <v>114</v>
      </c>
      <c r="H24" s="7" t="str">
        <f>"000416"</f>
        <v>000416</v>
      </c>
      <c r="I24" s="6">
        <v>43252</v>
      </c>
      <c r="J24" s="7" t="str">
        <f>"000042"</f>
        <v>000042</v>
      </c>
      <c r="K24" s="6">
        <v>43252</v>
      </c>
      <c r="L24" s="7" t="str">
        <f>"000068"</f>
        <v>000068</v>
      </c>
      <c r="M24" s="6">
        <v>43252</v>
      </c>
      <c r="N24" s="7">
        <v>17</v>
      </c>
      <c r="O24" s="7" t="str">
        <f>"004265"</f>
        <v>004265</v>
      </c>
      <c r="P24" s="6">
        <v>43680</v>
      </c>
      <c r="Q24" s="11">
        <v>14.227819999999999</v>
      </c>
      <c r="R24" s="11">
        <v>0.29937999999999998</v>
      </c>
      <c r="S24" s="11">
        <v>13.92844</v>
      </c>
      <c r="T24" s="7">
        <v>145</v>
      </c>
      <c r="U24" s="6">
        <v>43685</v>
      </c>
      <c r="V24" s="7">
        <v>9916962765</v>
      </c>
      <c r="W24" s="10" t="s">
        <v>113</v>
      </c>
      <c r="X24" s="7" t="s">
        <v>29</v>
      </c>
      <c r="Y24" s="10" t="s">
        <v>30</v>
      </c>
      <c r="Z24" s="7" t="s">
        <v>47</v>
      </c>
      <c r="AA24" s="10" t="s">
        <v>48</v>
      </c>
      <c r="AB24" s="11">
        <f t="shared" si="1"/>
        <v>0.14227819999999999</v>
      </c>
    </row>
    <row r="25" spans="1:28" x14ac:dyDescent="0.35">
      <c r="A25" s="4">
        <v>3624</v>
      </c>
      <c r="B25" s="5" t="s">
        <v>100</v>
      </c>
      <c r="C25" s="6">
        <v>43725</v>
      </c>
      <c r="D25" s="7">
        <v>106</v>
      </c>
      <c r="E25" s="8" t="s">
        <v>51</v>
      </c>
      <c r="F25" s="7" t="s">
        <v>112</v>
      </c>
      <c r="G25" s="10" t="s">
        <v>111</v>
      </c>
      <c r="H25" s="7" t="str">
        <f>"000112"</f>
        <v>000112</v>
      </c>
      <c r="I25" s="6">
        <v>42460</v>
      </c>
      <c r="J25" s="7" t="str">
        <f>"000197"</f>
        <v>000197</v>
      </c>
      <c r="K25" s="6">
        <v>43182</v>
      </c>
      <c r="L25" s="7" t="str">
        <f>"000255"</f>
        <v>000255</v>
      </c>
      <c r="M25" s="6">
        <v>43183</v>
      </c>
      <c r="N25" s="7">
        <v>16</v>
      </c>
      <c r="O25" s="7" t="str">
        <f>"004924"</f>
        <v>004924</v>
      </c>
      <c r="P25" s="6">
        <v>43714</v>
      </c>
      <c r="Q25" s="11">
        <v>14.997199999999999</v>
      </c>
      <c r="R25" s="11">
        <v>1.7225999999999999</v>
      </c>
      <c r="S25" s="11">
        <v>13.2746</v>
      </c>
      <c r="T25" s="7">
        <v>190</v>
      </c>
      <c r="U25" s="6">
        <v>43725</v>
      </c>
      <c r="V25" s="7">
        <v>9900909997</v>
      </c>
      <c r="W25" s="10" t="s">
        <v>110</v>
      </c>
      <c r="X25" s="7" t="s">
        <v>29</v>
      </c>
      <c r="Y25" s="10" t="s">
        <v>30</v>
      </c>
      <c r="Z25" s="7" t="s">
        <v>47</v>
      </c>
      <c r="AA25" s="10" t="s">
        <v>48</v>
      </c>
      <c r="AB25" s="11">
        <f t="shared" si="1"/>
        <v>0.14997199999999999</v>
      </c>
    </row>
    <row r="26" spans="1:28" x14ac:dyDescent="0.35">
      <c r="A26" s="4">
        <v>3625</v>
      </c>
      <c r="B26" s="5" t="s">
        <v>100</v>
      </c>
      <c r="C26" s="6">
        <v>43726</v>
      </c>
      <c r="D26" s="7">
        <v>106</v>
      </c>
      <c r="E26" s="8" t="s">
        <v>51</v>
      </c>
      <c r="F26" s="7" t="s">
        <v>109</v>
      </c>
      <c r="G26" s="10" t="s">
        <v>108</v>
      </c>
      <c r="H26" s="7" t="str">
        <f>"000352"</f>
        <v>000352</v>
      </c>
      <c r="I26" s="6">
        <v>43451</v>
      </c>
      <c r="J26" s="7" t="str">
        <f>"000026"</f>
        <v>000026</v>
      </c>
      <c r="K26" s="6">
        <v>43606</v>
      </c>
      <c r="L26" s="7" t="str">
        <f>"000076"</f>
        <v>000076</v>
      </c>
      <c r="M26" s="6">
        <v>43682</v>
      </c>
      <c r="N26" s="7">
        <v>18</v>
      </c>
      <c r="O26" s="7" t="str">
        <f>"005087"</f>
        <v>005087</v>
      </c>
      <c r="P26" s="6">
        <v>43720</v>
      </c>
      <c r="Q26" s="11">
        <v>12.782260000000001</v>
      </c>
      <c r="R26" s="11">
        <v>1.47295</v>
      </c>
      <c r="S26" s="11">
        <v>11.30931</v>
      </c>
      <c r="T26" s="7">
        <v>191</v>
      </c>
      <c r="U26" s="6">
        <v>43726</v>
      </c>
      <c r="V26" s="7">
        <v>9449863068</v>
      </c>
      <c r="W26" s="10" t="s">
        <v>107</v>
      </c>
      <c r="X26" s="7" t="s">
        <v>106</v>
      </c>
      <c r="Y26" s="10" t="s">
        <v>105</v>
      </c>
      <c r="Z26" s="7" t="s">
        <v>47</v>
      </c>
      <c r="AA26" s="10" t="s">
        <v>48</v>
      </c>
      <c r="AB26" s="11">
        <f t="shared" si="1"/>
        <v>0.12782260000000001</v>
      </c>
    </row>
    <row r="27" spans="1:28" x14ac:dyDescent="0.35">
      <c r="A27" s="4">
        <v>3626</v>
      </c>
      <c r="B27" s="5" t="s">
        <v>100</v>
      </c>
      <c r="C27" s="6">
        <v>43734</v>
      </c>
      <c r="D27" s="7">
        <v>106</v>
      </c>
      <c r="E27" s="8" t="s">
        <v>51</v>
      </c>
      <c r="F27" s="7" t="s">
        <v>104</v>
      </c>
      <c r="G27" s="10" t="s">
        <v>103</v>
      </c>
      <c r="H27" s="7" t="str">
        <f>"000101"</f>
        <v>000101</v>
      </c>
      <c r="I27" s="6">
        <v>42894</v>
      </c>
      <c r="J27" s="7" t="str">
        <f>"000072"</f>
        <v>000072</v>
      </c>
      <c r="K27" s="6">
        <v>43335</v>
      </c>
      <c r="L27" s="7" t="str">
        <f>"000071"</f>
        <v>000071</v>
      </c>
      <c r="M27" s="6">
        <v>43335</v>
      </c>
      <c r="N27" s="7">
        <v>16</v>
      </c>
      <c r="O27" s="7" t="str">
        <f>"005387"</f>
        <v>005387</v>
      </c>
      <c r="P27" s="6">
        <v>43731</v>
      </c>
      <c r="Q27" s="11">
        <v>2.597</v>
      </c>
      <c r="R27" s="11">
        <v>0.26229999999999998</v>
      </c>
      <c r="S27" s="11">
        <v>2.3347000000000002</v>
      </c>
      <c r="T27" s="7">
        <v>203</v>
      </c>
      <c r="U27" s="6">
        <v>43734</v>
      </c>
      <c r="V27" s="7">
        <v>9845453214</v>
      </c>
      <c r="W27" s="10" t="s">
        <v>97</v>
      </c>
      <c r="X27" s="7" t="s">
        <v>102</v>
      </c>
      <c r="Y27" s="10" t="s">
        <v>101</v>
      </c>
      <c r="Z27" s="7" t="s">
        <v>94</v>
      </c>
      <c r="AA27" s="10" t="s">
        <v>93</v>
      </c>
      <c r="AB27" s="11">
        <f t="shared" si="1"/>
        <v>2.597E-2</v>
      </c>
    </row>
    <row r="28" spans="1:28" x14ac:dyDescent="0.35">
      <c r="A28" s="4">
        <v>3627</v>
      </c>
      <c r="B28" s="5" t="s">
        <v>100</v>
      </c>
      <c r="C28" s="6">
        <v>43734</v>
      </c>
      <c r="D28" s="7">
        <v>106</v>
      </c>
      <c r="E28" s="8" t="s">
        <v>51</v>
      </c>
      <c r="F28" s="7" t="s">
        <v>99</v>
      </c>
      <c r="G28" s="10" t="s">
        <v>98</v>
      </c>
      <c r="H28" s="7" t="str">
        <f>"000021"</f>
        <v>000021</v>
      </c>
      <c r="I28" s="6">
        <v>41550</v>
      </c>
      <c r="J28" s="7" t="str">
        <f>"000075"</f>
        <v>000075</v>
      </c>
      <c r="K28" s="6">
        <v>43337</v>
      </c>
      <c r="L28" s="7" t="str">
        <f>"000073"</f>
        <v>000073</v>
      </c>
      <c r="M28" s="6">
        <v>43337</v>
      </c>
      <c r="N28" s="7">
        <v>13</v>
      </c>
      <c r="O28" s="7" t="str">
        <f>"005389"</f>
        <v>005389</v>
      </c>
      <c r="P28" s="6">
        <v>43731</v>
      </c>
      <c r="Q28" s="11">
        <v>1.5908899999999999</v>
      </c>
      <c r="R28" s="11">
        <v>0.16067999999999999</v>
      </c>
      <c r="S28" s="11">
        <v>1.43021</v>
      </c>
      <c r="T28" s="7">
        <v>203</v>
      </c>
      <c r="U28" s="6">
        <v>43734</v>
      </c>
      <c r="V28" s="7">
        <v>9845008155</v>
      </c>
      <c r="W28" s="10" t="s">
        <v>97</v>
      </c>
      <c r="X28" s="7" t="s">
        <v>96</v>
      </c>
      <c r="Y28" s="10" t="s">
        <v>95</v>
      </c>
      <c r="Z28" s="7" t="s">
        <v>94</v>
      </c>
      <c r="AA28" s="10" t="s">
        <v>93</v>
      </c>
      <c r="AB28" s="11">
        <f t="shared" si="1"/>
        <v>1.59089E-2</v>
      </c>
    </row>
    <row r="29" spans="1:28" x14ac:dyDescent="0.35">
      <c r="A29" s="4">
        <v>3628</v>
      </c>
      <c r="B29" s="5" t="s">
        <v>137</v>
      </c>
      <c r="C29" s="6">
        <v>43757</v>
      </c>
      <c r="D29" s="4">
        <v>106</v>
      </c>
      <c r="E29" s="8" t="s">
        <v>51</v>
      </c>
      <c r="F29" s="7" t="s">
        <v>130</v>
      </c>
      <c r="G29" s="8" t="s">
        <v>129</v>
      </c>
      <c r="H29" s="7" t="str">
        <f>"000003"</f>
        <v>000003</v>
      </c>
      <c r="I29" s="6">
        <v>42930</v>
      </c>
      <c r="J29" s="7" t="str">
        <f>"000051"</f>
        <v>000051</v>
      </c>
      <c r="K29" s="6">
        <v>43731</v>
      </c>
      <c r="L29" s="7" t="str">
        <f>"000056"</f>
        <v>000056</v>
      </c>
      <c r="M29" s="6">
        <v>43731</v>
      </c>
      <c r="N29" s="7">
        <v>16</v>
      </c>
      <c r="O29" s="7" t="str">
        <f>"005794"</f>
        <v>005794</v>
      </c>
      <c r="P29" s="6">
        <v>43755</v>
      </c>
      <c r="Q29" s="9">
        <v>1.48881</v>
      </c>
      <c r="R29" s="9">
        <v>0.14718000000000001</v>
      </c>
      <c r="S29" s="9">
        <v>1.3416300000000001</v>
      </c>
      <c r="T29" s="7">
        <v>13</v>
      </c>
      <c r="U29" s="6">
        <v>43757</v>
      </c>
      <c r="V29" s="7">
        <v>9845351993</v>
      </c>
      <c r="W29" s="8" t="s">
        <v>128</v>
      </c>
      <c r="X29" s="7" t="s">
        <v>127</v>
      </c>
      <c r="Y29" s="8" t="s">
        <v>126</v>
      </c>
      <c r="Z29" s="7" t="s">
        <v>94</v>
      </c>
      <c r="AA29" s="8" t="s">
        <v>93</v>
      </c>
      <c r="AB29" s="9">
        <v>1.48881E-2</v>
      </c>
    </row>
    <row r="30" spans="1:28" x14ac:dyDescent="0.35">
      <c r="A30" s="4">
        <v>3629</v>
      </c>
      <c r="B30" s="5" t="s">
        <v>137</v>
      </c>
      <c r="C30" s="6">
        <v>43762</v>
      </c>
      <c r="D30" s="4">
        <v>106</v>
      </c>
      <c r="E30" s="8" t="s">
        <v>51</v>
      </c>
      <c r="F30" s="7" t="s">
        <v>138</v>
      </c>
      <c r="G30" s="8" t="s">
        <v>139</v>
      </c>
      <c r="H30" s="7" t="str">
        <f>"000076"</f>
        <v>000076</v>
      </c>
      <c r="I30" s="6">
        <v>43535</v>
      </c>
      <c r="J30" s="7" t="str">
        <f>"000100"</f>
        <v>000100</v>
      </c>
      <c r="K30" s="6">
        <v>43735</v>
      </c>
      <c r="L30" s="7" t="str">
        <f>"000100"</f>
        <v>000100</v>
      </c>
      <c r="M30" s="6">
        <v>43735</v>
      </c>
      <c r="N30" s="7">
        <v>17</v>
      </c>
      <c r="O30" s="7" t="str">
        <f>"005845"</f>
        <v>005845</v>
      </c>
      <c r="P30" s="6">
        <v>43756</v>
      </c>
      <c r="Q30" s="9">
        <v>1.9950000000000001</v>
      </c>
      <c r="R30" s="9">
        <v>1.9800000000000002E-2</v>
      </c>
      <c r="S30" s="9">
        <v>1.9752000000000001</v>
      </c>
      <c r="T30" s="7">
        <v>13</v>
      </c>
      <c r="U30" s="6">
        <v>43762</v>
      </c>
      <c r="V30" s="7">
        <v>9945614169</v>
      </c>
      <c r="W30" s="8" t="s">
        <v>123</v>
      </c>
      <c r="X30" s="7" t="s">
        <v>122</v>
      </c>
      <c r="Y30" s="8" t="s">
        <v>121</v>
      </c>
      <c r="Z30" s="7" t="s">
        <v>42</v>
      </c>
      <c r="AA30" s="8" t="s">
        <v>43</v>
      </c>
      <c r="AB30" s="9">
        <v>1.9950000000000002E-2</v>
      </c>
    </row>
    <row r="31" spans="1:28" x14ac:dyDescent="0.35">
      <c r="A31" s="4">
        <v>3630</v>
      </c>
      <c r="B31" s="5" t="s">
        <v>137</v>
      </c>
      <c r="C31" s="6">
        <v>43768</v>
      </c>
      <c r="D31" s="4">
        <v>106</v>
      </c>
      <c r="E31" s="8" t="s">
        <v>51</v>
      </c>
      <c r="F31" s="7" t="s">
        <v>140</v>
      </c>
      <c r="G31" s="8" t="s">
        <v>141</v>
      </c>
      <c r="H31" s="7" t="str">
        <f>"000462"</f>
        <v>000462</v>
      </c>
      <c r="I31" s="6">
        <v>43698</v>
      </c>
      <c r="J31" s="7" t="str">
        <f>"000088"</f>
        <v>000088</v>
      </c>
      <c r="K31" s="6">
        <v>43725</v>
      </c>
      <c r="L31" s="7" t="str">
        <f>"000113"</f>
        <v>000113</v>
      </c>
      <c r="M31" s="6">
        <v>43732</v>
      </c>
      <c r="N31" s="7">
        <v>18</v>
      </c>
      <c r="O31" s="7" t="str">
        <f>"005982"</f>
        <v>005982</v>
      </c>
      <c r="P31" s="6">
        <v>43763</v>
      </c>
      <c r="Q31" s="9">
        <v>14.90803</v>
      </c>
      <c r="R31" s="9">
        <v>1.58717</v>
      </c>
      <c r="S31" s="9">
        <v>13.32086</v>
      </c>
      <c r="T31" s="7">
        <v>13</v>
      </c>
      <c r="U31" s="6">
        <v>43768</v>
      </c>
      <c r="V31" s="7">
        <v>9449863068</v>
      </c>
      <c r="W31" s="8" t="s">
        <v>107</v>
      </c>
      <c r="X31" s="7" t="s">
        <v>106</v>
      </c>
      <c r="Y31" s="8" t="s">
        <v>105</v>
      </c>
      <c r="Z31" s="7" t="s">
        <v>47</v>
      </c>
      <c r="AA31" s="8" t="s">
        <v>48</v>
      </c>
      <c r="AB31" s="9">
        <v>0.1490803</v>
      </c>
    </row>
    <row r="32" spans="1:28" x14ac:dyDescent="0.35">
      <c r="A32" s="4">
        <v>3631</v>
      </c>
      <c r="B32" s="5" t="s">
        <v>142</v>
      </c>
      <c r="C32" s="6">
        <v>43790</v>
      </c>
      <c r="D32" s="4">
        <v>106</v>
      </c>
      <c r="E32" s="8" t="s">
        <v>51</v>
      </c>
      <c r="F32" s="7" t="s">
        <v>143</v>
      </c>
      <c r="G32" s="8" t="s">
        <v>144</v>
      </c>
      <c r="H32" s="7" t="str">
        <f>"000353"</f>
        <v>000353</v>
      </c>
      <c r="I32" s="6">
        <v>43451</v>
      </c>
      <c r="J32" s="7" t="str">
        <f>"000095"</f>
        <v>000095</v>
      </c>
      <c r="K32" s="6">
        <v>43733</v>
      </c>
      <c r="L32" s="7" t="str">
        <f>"000133"</f>
        <v>000133</v>
      </c>
      <c r="M32" s="6">
        <v>43760</v>
      </c>
      <c r="N32" s="7">
        <v>18</v>
      </c>
      <c r="O32" s="7" t="str">
        <f>"006171"</f>
        <v>006171</v>
      </c>
      <c r="P32" s="6">
        <v>43781</v>
      </c>
      <c r="Q32" s="9">
        <v>4.93912</v>
      </c>
      <c r="R32" s="9">
        <v>0.53459000000000001</v>
      </c>
      <c r="S32" s="9">
        <v>4.4045300000000003</v>
      </c>
      <c r="T32" s="7">
        <v>13</v>
      </c>
      <c r="U32" s="6">
        <v>43790</v>
      </c>
      <c r="V32" s="7">
        <v>9449863068</v>
      </c>
      <c r="W32" s="8" t="s">
        <v>107</v>
      </c>
      <c r="X32" s="7" t="s">
        <v>145</v>
      </c>
      <c r="Y32" s="8" t="s">
        <v>146</v>
      </c>
      <c r="Z32" s="7" t="s">
        <v>47</v>
      </c>
      <c r="AA32" s="8" t="s">
        <v>48</v>
      </c>
      <c r="AB32" s="9">
        <v>4.9391199999999996E-2</v>
      </c>
    </row>
    <row r="33" spans="1:28" x14ac:dyDescent="0.35">
      <c r="A33" s="4">
        <v>3632</v>
      </c>
      <c r="B33" s="5" t="s">
        <v>147</v>
      </c>
      <c r="C33" s="6">
        <v>43802</v>
      </c>
      <c r="D33" s="4">
        <v>106</v>
      </c>
      <c r="E33" s="8" t="s">
        <v>51</v>
      </c>
      <c r="F33" s="7" t="s">
        <v>125</v>
      </c>
      <c r="G33" s="8" t="s">
        <v>124</v>
      </c>
      <c r="H33" s="7" t="str">
        <f>"000074"</f>
        <v>000074</v>
      </c>
      <c r="I33" s="6">
        <v>43535</v>
      </c>
      <c r="J33" s="7" t="str">
        <f>"000113"</f>
        <v>000113</v>
      </c>
      <c r="K33" s="6">
        <v>43766</v>
      </c>
      <c r="L33" s="7" t="str">
        <f>"000113"</f>
        <v>000113</v>
      </c>
      <c r="M33" s="6">
        <v>43766</v>
      </c>
      <c r="N33" s="7">
        <v>17</v>
      </c>
      <c r="O33" s="7" t="str">
        <f>"006471"</f>
        <v>006471</v>
      </c>
      <c r="P33" s="6">
        <v>43797</v>
      </c>
      <c r="Q33" s="9">
        <v>0.84709999999999996</v>
      </c>
      <c r="R33" s="9">
        <v>1.7690000000000001E-2</v>
      </c>
      <c r="S33" s="9">
        <v>0.82940999999999998</v>
      </c>
      <c r="T33" s="7">
        <v>13</v>
      </c>
      <c r="U33" s="6">
        <v>43802</v>
      </c>
      <c r="V33" s="7">
        <v>9945614169</v>
      </c>
      <c r="W33" s="8" t="s">
        <v>123</v>
      </c>
      <c r="X33" s="7" t="s">
        <v>122</v>
      </c>
      <c r="Y33" s="8" t="s">
        <v>121</v>
      </c>
      <c r="Z33" s="7" t="s">
        <v>42</v>
      </c>
      <c r="AA33" s="8" t="s">
        <v>43</v>
      </c>
      <c r="AB33" s="9">
        <v>8.4709999999999994E-3</v>
      </c>
    </row>
    <row r="34" spans="1:28" x14ac:dyDescent="0.35">
      <c r="A34" s="4">
        <v>3633</v>
      </c>
      <c r="B34" s="5" t="s">
        <v>147</v>
      </c>
      <c r="C34" s="6">
        <v>43809</v>
      </c>
      <c r="D34" s="4">
        <v>106</v>
      </c>
      <c r="E34" s="8" t="s">
        <v>51</v>
      </c>
      <c r="F34" s="7" t="s">
        <v>148</v>
      </c>
      <c r="G34" s="8" t="s">
        <v>149</v>
      </c>
      <c r="H34" s="7" t="str">
        <f>"000353"</f>
        <v>000353</v>
      </c>
      <c r="I34" s="6">
        <v>43185</v>
      </c>
      <c r="J34" s="7" t="str">
        <f>"000083"</f>
        <v>000083</v>
      </c>
      <c r="K34" s="6">
        <v>43350</v>
      </c>
      <c r="L34" s="7" t="str">
        <f>"000130"</f>
        <v>000130</v>
      </c>
      <c r="M34" s="6">
        <v>43350</v>
      </c>
      <c r="N34" s="7">
        <v>18</v>
      </c>
      <c r="O34" s="7" t="str">
        <f>"006661"</f>
        <v>006661</v>
      </c>
      <c r="P34" s="6">
        <v>43805</v>
      </c>
      <c r="Q34" s="9">
        <v>24.995249999999999</v>
      </c>
      <c r="R34" s="9">
        <v>3.6069499999999999</v>
      </c>
      <c r="S34" s="9">
        <v>21.388300000000001</v>
      </c>
      <c r="T34" s="7">
        <v>13</v>
      </c>
      <c r="U34" s="6">
        <v>43809</v>
      </c>
      <c r="V34" s="7">
        <v>9900000000</v>
      </c>
      <c r="W34" s="8" t="s">
        <v>150</v>
      </c>
      <c r="X34" s="7" t="s">
        <v>151</v>
      </c>
      <c r="Y34" s="8" t="s">
        <v>152</v>
      </c>
      <c r="Z34" s="7" t="s">
        <v>47</v>
      </c>
      <c r="AA34" s="8" t="s">
        <v>48</v>
      </c>
      <c r="AB34" s="9">
        <v>0.24995249999999999</v>
      </c>
    </row>
    <row r="35" spans="1:28" x14ac:dyDescent="0.35">
      <c r="A35" s="4">
        <v>3634</v>
      </c>
      <c r="B35" s="5" t="s">
        <v>147</v>
      </c>
      <c r="C35" s="6">
        <v>43812</v>
      </c>
      <c r="D35" s="4">
        <v>106</v>
      </c>
      <c r="E35" s="8" t="s">
        <v>51</v>
      </c>
      <c r="F35" s="7" t="s">
        <v>153</v>
      </c>
      <c r="G35" s="8" t="s">
        <v>154</v>
      </c>
      <c r="H35" s="7" t="str">
        <f>"000035"</f>
        <v>000035</v>
      </c>
      <c r="I35" s="6">
        <v>43749</v>
      </c>
      <c r="J35" s="7" t="str">
        <f>"000127"</f>
        <v>000127</v>
      </c>
      <c r="K35" s="6">
        <v>43801</v>
      </c>
      <c r="L35" s="7" t="str">
        <f>"000127"</f>
        <v>000127</v>
      </c>
      <c r="M35" s="6">
        <v>43801</v>
      </c>
      <c r="N35" s="7">
        <v>17</v>
      </c>
      <c r="O35" s="7" t="str">
        <f>"006710"</f>
        <v>006710</v>
      </c>
      <c r="P35" s="6">
        <v>43806</v>
      </c>
      <c r="Q35" s="9">
        <v>32.755800000000001</v>
      </c>
      <c r="R35" s="9">
        <v>1.7205600000000001</v>
      </c>
      <c r="S35" s="9">
        <v>31.035240000000002</v>
      </c>
      <c r="T35" s="7">
        <v>13</v>
      </c>
      <c r="U35" s="6">
        <v>43812</v>
      </c>
      <c r="V35" s="7">
        <v>9480683659</v>
      </c>
      <c r="W35" s="8" t="s">
        <v>155</v>
      </c>
      <c r="X35" s="7" t="s">
        <v>156</v>
      </c>
      <c r="Y35" s="8" t="s">
        <v>157</v>
      </c>
      <c r="Z35" s="7" t="s">
        <v>42</v>
      </c>
      <c r="AA35" s="8" t="s">
        <v>43</v>
      </c>
      <c r="AB35" s="9">
        <v>0.32755800000000002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2020-01-30T06:26:20Z</dcterms:modified>
</cp:coreProperties>
</file>