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0" i="1" l="1"/>
  <c r="L60" i="1"/>
  <c r="J60" i="1"/>
  <c r="H60" i="1"/>
  <c r="O59" i="1"/>
  <c r="L59" i="1"/>
  <c r="J59" i="1"/>
  <c r="H59" i="1"/>
  <c r="O58" i="1"/>
  <c r="L58" i="1"/>
  <c r="J58" i="1"/>
  <c r="H58" i="1"/>
  <c r="O57" i="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<sst xmlns="http://schemas.openxmlformats.org/spreadsheetml/2006/main" count="559" uniqueCount="232">
  <si>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</si>
  <si>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</si>
  <si>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</si>
  <si>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</si>
  <si>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</si>
  <si>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</si>
  <si>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</si>
  <si>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</si>
  <si>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</si>
  <si>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</si>
  <si>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</si>
  <si>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</si>
  <si>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</si>
  <si>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</si>
  <si>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</si>
  <si>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</si>
  <si>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</si>
  <si>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</si>
  <si>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</si>
  <si>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</si>
  <si>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</si>
  <si>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</si>
  <si>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</si>
  <si>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</si>
  <si>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</si>
  <si>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</si>
  <si>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</si>
  <si>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</si>
  <si>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</si>
  <si>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</si>
  <si>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</si>
  <si>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ddo617</t>
  </si>
  <si>
    <t xml:space="preserve"> Executive Engineer Electrical Yelhanka Zone</t>
  </si>
  <si>
    <t>ddo235</t>
  </si>
  <si>
    <t xml:space="preserve"> Assistant Executive Engineer Project-1 Yelahanka Zone</t>
  </si>
  <si>
    <t>June</t>
  </si>
  <si>
    <t>P1771</t>
  </si>
  <si>
    <t>Zone Works - POW Works</t>
  </si>
  <si>
    <t>May</t>
  </si>
  <si>
    <t>P2415</t>
  </si>
  <si>
    <t>Reserve fund for TandF Committee</t>
  </si>
  <si>
    <t>Sri.Karthik Rechan R</t>
  </si>
  <si>
    <t>P3089</t>
  </si>
  <si>
    <t>Special Development works in 7 CMC and 1 TMC area in BBMP</t>
  </si>
  <si>
    <t>18per - Works (Bhagyajyothi, Sooru / Neeru Yojane and General) (54 Lakhs / New Wards)</t>
  </si>
  <si>
    <t>P1878</t>
  </si>
  <si>
    <t>P3111</t>
  </si>
  <si>
    <t>State Finance Commission Untied Grant Works</t>
  </si>
  <si>
    <t>P3075</t>
  </si>
  <si>
    <t>Special comprehensive development works in Bangalore city (Bangalore city in charge Minister Discretionary Grants)</t>
  </si>
  <si>
    <t>Executive Engineer</t>
  </si>
  <si>
    <t>ddo476</t>
  </si>
  <si>
    <t xml:space="preserve"> Assistant Executive Engineer Vidyaranyapura Yelhanka Zone</t>
  </si>
  <si>
    <t>T.N.Umashenkar</t>
  </si>
  <si>
    <t>M/s Vijayalakshmi Associates</t>
  </si>
  <si>
    <t>Kuvempu Nagara</t>
  </si>
  <si>
    <t>011-17-000028</t>
  </si>
  <si>
    <t>Improvements to drains and construction of Culverts at Ramchandrapura and surrounding area in Ward No 11 Kuvempunagara in Vidyaranyapura Sub Division</t>
  </si>
  <si>
    <t>K. Shankar reddy</t>
  </si>
  <si>
    <t>011-16-000012</t>
  </si>
  <si>
    <t>Operation and maintenance of Street lights in Kuvempunagara Ward W No 11 Package Y 11</t>
  </si>
  <si>
    <t>011-16-000007</t>
  </si>
  <si>
    <t xml:space="preserve">Improvements to Roads and Drains at Kuvempunagar Ist Stage in Ward no 11 Vidyaranyapura Sub Division </t>
  </si>
  <si>
    <t>K. Anil kumar</t>
  </si>
  <si>
    <t>011-18-000010</t>
  </si>
  <si>
    <t>IMPROVEMENTS TO ROADS, DRIANS AND OTHER WORKS AT KUVEMPU NAGARA 1ST STAGE MAIN ROAD AND SURROUNDINGS IN WARD NO 11 KUVEMPUNAGARA</t>
  </si>
  <si>
    <t>Executive Engineer,</t>
  </si>
  <si>
    <t>011-18-000030</t>
  </si>
  <si>
    <t>IMPROVEMENTS TO ROADS , DRAINS AND OTHER WORKS GANESH LAYOUT AREAS IN WARD NO 11 KUVEMPUNAGARA</t>
  </si>
  <si>
    <t>011-18-000013</t>
  </si>
  <si>
    <t>IMPROVEMENTS TO ROADS, DRAINS AND OTHER WORKS AT VARADARAJANAGARA 1ST TO 3RD CROSS ROAD SURROUNDINGS IN WARD NO 11 KUVEMPUNAGARA</t>
  </si>
  <si>
    <t>011-18-000029</t>
  </si>
  <si>
    <t>IMPROVEMENTS TO ROADS , DRAINS AND OTHER WORKS RAGHURAM LAYOUT AREAS  IN WARD NO 11 KUVEMPUNAGARA</t>
  </si>
  <si>
    <t>011-17-000026</t>
  </si>
  <si>
    <t>Improvements to Road and Drain and Asphalting to Varadarajnagar Main road in Ward No 11 Kuvempunagara  in Vidyaranyapura Sub Division</t>
  </si>
  <si>
    <t>T.N.Umashankar</t>
  </si>
  <si>
    <t>011-19-000001</t>
  </si>
  <si>
    <t>Consultancy Services for preparation of Survey, Designs, Drawing, Estimate preparation etc.,(Detailed Project Report) For the work of Improvements to roads and drains around Singapura, Singapura Garden, Raghavendra Colony, Teachers Layout, and MS Palya in Ward No.11 Kuvempunagara</t>
  </si>
  <si>
    <t>Sri.Kiran R</t>
  </si>
  <si>
    <t>011-19-000002</t>
  </si>
  <si>
    <t xml:space="preserve">Consultancy Services for preparation of Survey, Designs, Drawing, Estimate preparation etc.,(Detailed Project Report) For the work of Improvements to roads and drains around Ramachandrapura, Kuvempunagara, Vaishnavi Layout, Srinidhi Layout and Sai Garden in Ward No.11 Kuvempunagara  </t>
  </si>
  <si>
    <t>Sir Kiran R</t>
  </si>
  <si>
    <t>011-15-000063</t>
  </si>
  <si>
    <t xml:space="preserve">Construction of  SSM Drain Providing Covering slabs at Kamath Layout  in ward no 11 (Kuvempunagara) Vidyaranyapura Sub Division  </t>
  </si>
  <si>
    <t>SLP INFRA ENGINEERS PRIVATE LTD  (H K Suresh)</t>
  </si>
  <si>
    <t>011-15-000058</t>
  </si>
  <si>
    <t xml:space="preserve">Improvements to CC Road and Patch works at Vinayakanagara  in ward no 11 (Kuvempunagara) Vidyaranyapura Sub Division  </t>
  </si>
  <si>
    <t>011-16-000030</t>
  </si>
  <si>
    <t>Development of Play Ground at Varadarajanagara in ward no 11 (Kuvempunagara) Vidyaranyapura Sub Division</t>
  </si>
  <si>
    <t>011-15-000061</t>
  </si>
  <si>
    <t xml:space="preserve">Asphalting from Varadarajanagara to Lakshmipura Connecting road  in ward no 11 (Kuvempunagara) Vidyaranyapura Sub Division  </t>
  </si>
  <si>
    <t>011-15-000060</t>
  </si>
  <si>
    <t xml:space="preserve">Improvements to CC Road and Patch works at Koya Factory Surroundings in ward no 11 (Kuvempunagara) Vidyaranyapura Sub Division  </t>
  </si>
  <si>
    <t>011-15-000059</t>
  </si>
  <si>
    <t xml:space="preserve">Construction of Culverts and Providing Covering Slab to Existing Drains Varadarajanagara Gandhi Statue Road  in ward no 11 (Kuvempunagara) Vidyaranyapura Sub Division  </t>
  </si>
  <si>
    <t>SLP INFRA ENGINEERS PRIVATE LTD (H K Suresh)</t>
  </si>
  <si>
    <t>011-17-000016</t>
  </si>
  <si>
    <t>Consultancy services for preparation of detailed survey designs drawings estimate bid document bill of quantities for the work of Construction of Hospital Building at ward no 11 (Kuvempunagar) in Vidyaranyapura Sub Division</t>
  </si>
  <si>
    <t>011-16-000031</t>
  </si>
  <si>
    <t>Construction of plat form to Raithara Santhe at Singapura in ward no 11 (Kuvempunagara) Vidyaranyapura Sub Division</t>
  </si>
  <si>
    <t>011-16-000032</t>
  </si>
  <si>
    <t>Construction of Kitchen and toilets to Samudaya Bhavan in Kuvempunagara in ward no 11 (Kuvempunagara) Vidyaranyapura Sub Division</t>
  </si>
  <si>
    <t>011-16-000019</t>
  </si>
  <si>
    <t>Construction of Drain Providing Covering slab and Kerb Stone from MS Palya Circle to Vidyaranyapura Connecting Road RHS in Ward No 11 Kuvempunagara Vidyaranyapura Sub Division</t>
  </si>
  <si>
    <t>N. Thirunagendra</t>
  </si>
  <si>
    <t>011-17-000029</t>
  </si>
  <si>
    <t>Improvements Roads and drains of Varadaraj swamy 2nd stage roads in Ward No 11 Kuvempunagara in Vidyaranyapura Sub Division</t>
  </si>
  <si>
    <t>Subbanna</t>
  </si>
  <si>
    <t>011-17-000023</t>
  </si>
  <si>
    <t xml:space="preserve"> Improvements to Roads drains and Asphalting at Vinyakanagar Balance roads in Ward No 11 Kuvempunagar in Vidyaranyapura Sub Division</t>
  </si>
  <si>
    <t>July</t>
  </si>
  <si>
    <t>011-17-000005</t>
  </si>
  <si>
    <t>Improvements drain and Providing Covering slabs at Singapura Main Road near Varadarajnagara in ward no 11 (Kuvempunagar) in Vidyaranyapura Sub Division</t>
  </si>
  <si>
    <t>N.N.Sreenivasaiah</t>
  </si>
  <si>
    <t>P3167</t>
  </si>
  <si>
    <t>Special Development works in ward No.119, 124, 131, 133, 157, 171, 177, 181, 192, 184, 185, 194, 155, 105, 90, 91, 92, 98, 09, 11, 02, 65 (Rs.100 lakhs per ward)</t>
  </si>
  <si>
    <t>011-16-000033</t>
  </si>
  <si>
    <t>Emergency Repairs to the Panel Board Electrical Furnace of Electrical Crematorium at Medi Agrahara Lakshmipura in ward No 11</t>
  </si>
  <si>
    <t>Shree Shanmukha Engineers</t>
  </si>
  <si>
    <t>P0287</t>
  </si>
  <si>
    <t>M and R to Electrical Crematoria</t>
  </si>
  <si>
    <t>011-17-000046</t>
  </si>
  <si>
    <t>Providing released Tubular Pole along with Street lights to Gangamma Circle busstop to Air Force gate in Ward No 11</t>
  </si>
  <si>
    <t>P0298</t>
  </si>
  <si>
    <t>M and R to Electrical Installations in Parks and Gardens, Playgrounds, Burial Grounds</t>
  </si>
  <si>
    <t>011-18-000025</t>
  </si>
  <si>
    <t>IMPROVEMENTS TO ROADS AND DRAINS AT HOSABALUNAGARA CROSS ROADS IN WARD NO 11 KUVEMPUNAGARA</t>
  </si>
  <si>
    <t xml:space="preserve">Executive Engineer, Karnataka Rural Infrastructure development Ltd, </t>
  </si>
  <si>
    <t>011-18-000049</t>
  </si>
  <si>
    <t>Improvements to Roads and Drains at Singapura Paradise Roads in Ward No 11 Kuvempunagara</t>
  </si>
  <si>
    <t>Executive Engineer, Karnataka Rural Infrastructure development Ltd</t>
  </si>
  <si>
    <t>011-18-000048</t>
  </si>
  <si>
    <t>Improvements to Roads and Drains at Singapura Garden Roads in Ward No 11 Kuvempunagara</t>
  </si>
  <si>
    <t>Executive Engineer, Karnataka Rural Infrastructure development Ltd,</t>
  </si>
  <si>
    <t>011-17-000012</t>
  </si>
  <si>
    <t>Providing Gym Equipments in ward no 11 (Kuvempunagar) in Vidyaranyapura Sub Division</t>
  </si>
  <si>
    <t>T. Nataraj</t>
  </si>
  <si>
    <t>P3165</t>
  </si>
  <si>
    <t>Special Development works in ward No.11, 41, 27, 43, 52, 57 and 9 (each ward Rs.200.00 lakhs)</t>
  </si>
  <si>
    <t>011-17-000022</t>
  </si>
  <si>
    <t>Providing Gym equipments in ward No 11 Kuvempunagara in Vidyaranyapura Sub Division</t>
  </si>
  <si>
    <t>011-18-000045</t>
  </si>
  <si>
    <t>Providing Additional electrical fittings Timers Control wires Poles etc., at new zones for Byatarayanapura Assembly constituency ( Ward 5 to 11)</t>
  </si>
  <si>
    <t>Technical manager</t>
  </si>
  <si>
    <t>P3255</t>
  </si>
  <si>
    <t>Providing Additional Electrical Fittings at New zonesand110 Villages ( Rs.60.00 Lakhs each zone)</t>
  </si>
  <si>
    <t>011-17-000004</t>
  </si>
  <si>
    <t>Improvements drain and construction of Culverts at Kuvempunagar 1st stage and surrounding area in ward no 11 (Kuvempunagar) in Vidyaranyapura Sub Division</t>
  </si>
  <si>
    <t>N. Lokanathareddy</t>
  </si>
  <si>
    <t>August</t>
  </si>
  <si>
    <t>011-17-000002</t>
  </si>
  <si>
    <t>Improvements drain and Providing Covering slabs at Singapura Main Road I-F of ward office in ward no 11 (Kuvempunagar) in Vidyaranyapura Sub Division</t>
  </si>
  <si>
    <t>N.Lokanathreddy</t>
  </si>
  <si>
    <t>011-17-000049</t>
  </si>
  <si>
    <t>Upgradation and Improvement to Mediagrahara electrical Crematorium furnance No-1 in ward no 11</t>
  </si>
  <si>
    <t>Tecnical Manejar KRIDL</t>
  </si>
  <si>
    <t>P0486</t>
  </si>
  <si>
    <t>MandR to Burial Grounds and Burning ghats / Electrical creamtoruim</t>
  </si>
  <si>
    <t>011-17-000055</t>
  </si>
  <si>
    <t xml:space="preserve">Construction of Sheltar and Power Conection For Shredder in Near Bio Plant </t>
  </si>
  <si>
    <t>Sri.N.Ramamurthy</t>
  </si>
  <si>
    <t>P3158</t>
  </si>
  <si>
    <t>SIP Infrastructure Project works</t>
  </si>
  <si>
    <t>011-18-000001</t>
  </si>
  <si>
    <t>Drilling of Borewells and Providing Pipelines in ward no 11 (Kuvempunagara) Vidyaranyapura Sub Division</t>
  </si>
  <si>
    <t>Executive Engineer, KRIDL</t>
  </si>
  <si>
    <t>P2178</t>
  </si>
  <si>
    <t>Works sanctioned by Dy. Mayor</t>
  </si>
  <si>
    <t>September</t>
  </si>
  <si>
    <t>011-18-000022</t>
  </si>
  <si>
    <t>IMPROVEMENTS TO ROADS, DRAINS AND OTHER WORKS AT VALMIKINAGARA MAIN ROADS IN WARD NO 11 KUVEMPUNAGARA</t>
  </si>
  <si>
    <t>011-19-000094</t>
  </si>
  <si>
    <t>Providing CC Camera and improvements to solid waste management in ward no 11 Kuvempunagara</t>
  </si>
  <si>
    <t>Sri.S Somashekar</t>
  </si>
  <si>
    <t>P3298</t>
  </si>
  <si>
    <t>14th Finance Commission Works - SWM Works</t>
  </si>
  <si>
    <t xml:space="preserve">Consultancy Services for preparation of Survey, Designs, Drawing, Estimate preparation etc.,(Detailed Project Report) For the work of Improvements to roads and drains around Ramachandrapura, Kuvempunagara, Vaishnavi Layout, Srinidhi Layout and Sai Garden in Ward No.11 Kuvempunagara </t>
  </si>
  <si>
    <t>Sri.K.Achutha Murthy</t>
  </si>
  <si>
    <t>011-17-000015</t>
  </si>
  <si>
    <t>Emergency works Maintenance of road and drain near Singapura Govt School in ward no 11 Vidyaranyapura Sub Division</t>
  </si>
  <si>
    <t>KRIDL</t>
  </si>
  <si>
    <t>P0541</t>
  </si>
  <si>
    <t>Emergency Reserve Fund</t>
  </si>
  <si>
    <t>011-17-000018</t>
  </si>
  <si>
    <t>Emergency works construction of damaged culverts and drains in ward No 11 Kuvempunagara in Vidyaranyapura Sub Division</t>
  </si>
  <si>
    <t>Dhananjaya M.L</t>
  </si>
  <si>
    <t>October</t>
  </si>
  <si>
    <t>Sri.C.N.S Murthy</t>
  </si>
  <si>
    <t>011-17-000054</t>
  </si>
  <si>
    <t>Supply and Installation of Shredder in Yelahanka Zone BBMP (Near Bio Plant, Near BWSSB Office , Behind Police station, Gundanjaneya Temple, Near Railway Track)(Including Maintenance for 2 years)</t>
  </si>
  <si>
    <t>Sri.Abhinandan D Joshi</t>
  </si>
  <si>
    <t>011-18-000044</t>
  </si>
  <si>
    <t>Drilling of Borewells Providing pump motor and Accessories and pipelines in ward No 11 Kuvempungara, Vidyaranyapura sub division</t>
  </si>
  <si>
    <t>Executive Engineer,Karnataka Rural Infrastructure Development Ltd</t>
  </si>
  <si>
    <t>P1802</t>
  </si>
  <si>
    <t>Water Supply New Areas</t>
  </si>
  <si>
    <t>011-17-000035</t>
  </si>
  <si>
    <t xml:space="preserve">Package 3 Construction of Hospital building at ward No-11 Kuvempunagara in Byatarayanapura Assembly Constituency, Yelahanka Zone. Construction of Hospital Building at Ward No 08 Kodigehalli, Construction of Hospital Building at Ward No.07 Byatarayanapura </t>
  </si>
  <si>
    <t>K.Gopireddy</t>
  </si>
  <si>
    <t>P3106</t>
  </si>
  <si>
    <t>Nagarothana Works</t>
  </si>
  <si>
    <t>011-19-000003</t>
  </si>
  <si>
    <t>Providing Street lights and maintenance in ward no 11 (Kuvempunagara)</t>
  </si>
  <si>
    <t>P3290</t>
  </si>
  <si>
    <t>14th Finance Commission Works - Providing Street Lights and Maintenance</t>
  </si>
  <si>
    <t>011-18-000067</t>
  </si>
  <si>
    <t>Improvements to Roads and Drains at Ramachandrapura area in Ward No 11 (Kuvempunagara) in Vidyaranyapura Sub Division.</t>
  </si>
  <si>
    <t>A Puttaraju</t>
  </si>
  <si>
    <t>011-18-000064</t>
  </si>
  <si>
    <t>Drilling of Borewells in ward No. 11 (Kuvempunagara) Vidyaranyapura Sub Division</t>
  </si>
  <si>
    <t>November</t>
  </si>
  <si>
    <t>011-17-000048</t>
  </si>
  <si>
    <t>Providing ABC cables to Kuvempunagara main road in Ward No 11</t>
  </si>
  <si>
    <t>P1517</t>
  </si>
  <si>
    <t>Upgrading Street Lighting of Bangalore - Major Roads</t>
  </si>
  <si>
    <t>December</t>
  </si>
  <si>
    <t>011-19-000093</t>
  </si>
  <si>
    <t>Improvements to roads and footpath maintenance in ward no 11 Kuvempunagara</t>
  </si>
  <si>
    <t>Sri.Mallappa,</t>
  </si>
  <si>
    <t>P3296</t>
  </si>
  <si>
    <t>14th Finance Commission Works - Road and Footpath Maintenance</t>
  </si>
  <si>
    <t>011-18-000047</t>
  </si>
  <si>
    <t>Improvements to Roads and Drains at Srinidhi Layout Roads in Ward No 11 Kuvempunagara</t>
  </si>
  <si>
    <t>011-18-000026</t>
  </si>
  <si>
    <t>IMPROVEMENTS TO ROADS, DRAINS AND OTHER WORKS VALMIKINAGARA CROSS ROADS IN WARD NO 11 KUVEMPUNAGARA</t>
  </si>
  <si>
    <t>011-18-000012</t>
  </si>
  <si>
    <t>IMPROVEMENTS TO ROADS , DRAINS AND OTHER WORKS AT VARADARAJANAGARA MAIN ROAD SURROUNDINGS IN WARD NO 11 KUVEMPUNAGARA</t>
  </si>
  <si>
    <t>011-19-000288</t>
  </si>
  <si>
    <t>Consultancy Services for Preparation of DPR (which includes Survey,Designs,Drawing, Estimate etc.,) and for Project Management Consultancy (Consultancy Services for Construction Supervision ,Project Management &amp; Quality Assurance for the works) For Improvements to roads and drains in Kuvempunagara Singapura Ramachandrapura and surrounding area in ward no 11.Est cost 120.00 Lakhs.Consultancy Services for Preparation of DPR (which includes Survey,Designs,Drawing, Estimate etc.,) and for Project Management Consultancy (Consultancy Services for Construction Supervision ,Project Management &amp; Quality Assurance for the works) For Improvements to roads and drains in Kuvempunagara Singapura Ramachandrapura and surrounding area in ward no 11.Est cost 120.00 Lakhs.</t>
  </si>
  <si>
    <t>Sri.C VEERAMMA TRANSHEIGHT CONSULTANTS PRIVATE LIMITED</t>
  </si>
  <si>
    <t>P3409</t>
  </si>
  <si>
    <t>SFC Untied SC-SP/TSP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</si>
</sst>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tabSelected="1" workbookViewId="0">
      <selection activeCell="A2" sqref="A2:XFD60"/>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417</v>
      </c>
      <c r="B2" s="6" t="s">
        <v>28</v>
      </c>
      <c r="C2" s="7">
        <v>43566</v>
      </c>
      <c r="D2" s="8">
        <v>11</v>
      </c>
      <c r="E2" s="9" t="s">
        <v>55</v>
      </c>
      <c r="F2" s="8" t="s">
        <v>56</v>
      </c>
      <c r="G2" s="9" t="s">
        <v>57</v>
      </c>
      <c r="H2" s="8" t="str">
        <f>"000209"</f>
        <v>000209</v>
      </c>
      <c r="I2" s="7">
        <v>42802</v>
      </c>
      <c r="J2" s="8" t="str">
        <f>"000084"</f>
        <v>000084</v>
      </c>
      <c r="K2" s="7">
        <v>42913</v>
      </c>
      <c r="L2" s="8" t="str">
        <f>"000215"</f>
        <v>000215</v>
      </c>
      <c r="M2" s="7">
        <v>42916</v>
      </c>
      <c r="N2" s="8">
        <v>17</v>
      </c>
      <c r="O2" s="8" t="str">
        <f>"000123"</f>
        <v>000123</v>
      </c>
      <c r="P2" s="7">
        <v>43563</v>
      </c>
      <c r="Q2" s="10">
        <v>23.997509999999998</v>
      </c>
      <c r="R2" s="10">
        <v>1.75623</v>
      </c>
      <c r="S2" s="10">
        <v>22.24128</v>
      </c>
      <c r="T2" s="8">
        <v>12</v>
      </c>
      <c r="U2" s="7">
        <v>43566</v>
      </c>
      <c r="V2" s="8">
        <v>8553121546</v>
      </c>
      <c r="W2" s="9" t="s">
        <v>58</v>
      </c>
      <c r="X2" s="8" t="s">
        <v>36</v>
      </c>
      <c r="Y2" s="9" t="s">
        <v>37</v>
      </c>
      <c r="Z2" s="8" t="s">
        <v>51</v>
      </c>
      <c r="AA2" s="9" t="s">
        <v>52</v>
      </c>
      <c r="AB2" s="10">
        <f t="shared" ref="AB2:AB14" si="0">Q2/100</f>
        <v>0.2399751</v>
      </c>
    </row>
    <row r="3" spans="1:28" s="4" customFormat="1" ht="13" x14ac:dyDescent="0.3">
      <c r="A3" s="5">
        <v>418</v>
      </c>
      <c r="B3" s="6" t="s">
        <v>28</v>
      </c>
      <c r="C3" s="7">
        <v>43567</v>
      </c>
      <c r="D3" s="8">
        <v>11</v>
      </c>
      <c r="E3" s="9" t="s">
        <v>55</v>
      </c>
      <c r="F3" s="8" t="s">
        <v>59</v>
      </c>
      <c r="G3" s="9" t="s">
        <v>60</v>
      </c>
      <c r="H3" s="8" t="str">
        <f>"000029"</f>
        <v>000029</v>
      </c>
      <c r="I3" s="7">
        <v>42737</v>
      </c>
      <c r="J3" s="8" t="str">
        <f>""</f>
        <v/>
      </c>
      <c r="K3" s="7">
        <v>43111</v>
      </c>
      <c r="L3" s="8" t="str">
        <f>""</f>
        <v/>
      </c>
      <c r="M3" s="7"/>
      <c r="N3" s="8">
        <v>16</v>
      </c>
      <c r="O3" s="8" t="str">
        <f>""</f>
        <v/>
      </c>
      <c r="P3" s="7"/>
      <c r="Q3" s="10">
        <v>7.0532000000000004</v>
      </c>
      <c r="R3" s="10">
        <v>0.70682999999999996</v>
      </c>
      <c r="S3" s="10">
        <v>6.3463700000000003</v>
      </c>
      <c r="T3" s="8">
        <v>17</v>
      </c>
      <c r="U3" s="7">
        <v>43567</v>
      </c>
      <c r="V3" s="8">
        <v>9945535033</v>
      </c>
      <c r="W3" s="9" t="s">
        <v>54</v>
      </c>
      <c r="X3" s="8" t="s">
        <v>29</v>
      </c>
      <c r="Y3" s="9" t="s">
        <v>30</v>
      </c>
      <c r="Z3" s="8" t="s">
        <v>31</v>
      </c>
      <c r="AA3" s="9" t="s">
        <v>32</v>
      </c>
      <c r="AB3" s="10">
        <f t="shared" si="0"/>
        <v>7.0531999999999997E-2</v>
      </c>
    </row>
    <row r="4" spans="1:28" s="4" customFormat="1" ht="13" x14ac:dyDescent="0.3">
      <c r="A4" s="5">
        <v>419</v>
      </c>
      <c r="B4" s="6" t="s">
        <v>28</v>
      </c>
      <c r="C4" s="7">
        <v>43575</v>
      </c>
      <c r="D4" s="8">
        <v>11</v>
      </c>
      <c r="E4" s="9" t="s">
        <v>55</v>
      </c>
      <c r="F4" s="8" t="s">
        <v>59</v>
      </c>
      <c r="G4" s="9" t="s">
        <v>60</v>
      </c>
      <c r="H4" s="8" t="str">
        <f>"000029"</f>
        <v>000029</v>
      </c>
      <c r="I4" s="7">
        <v>42737</v>
      </c>
      <c r="J4" s="8" t="str">
        <f>""</f>
        <v/>
      </c>
      <c r="K4" s="7">
        <v>43111</v>
      </c>
      <c r="L4" s="8" t="str">
        <f>""</f>
        <v/>
      </c>
      <c r="M4" s="7"/>
      <c r="N4" s="8">
        <v>16</v>
      </c>
      <c r="O4" s="8" t="str">
        <f>""</f>
        <v/>
      </c>
      <c r="P4" s="7"/>
      <c r="Q4" s="10">
        <v>4.7021300000000004</v>
      </c>
      <c r="R4" s="10">
        <v>0.57693000000000005</v>
      </c>
      <c r="S4" s="10">
        <v>4.1252000000000004</v>
      </c>
      <c r="T4" s="8">
        <v>20</v>
      </c>
      <c r="U4" s="7">
        <v>43575</v>
      </c>
      <c r="V4" s="8">
        <v>9945535033</v>
      </c>
      <c r="W4" s="9" t="s">
        <v>54</v>
      </c>
      <c r="X4" s="8" t="s">
        <v>29</v>
      </c>
      <c r="Y4" s="9" t="s">
        <v>30</v>
      </c>
      <c r="Z4" s="8" t="s">
        <v>31</v>
      </c>
      <c r="AA4" s="9" t="s">
        <v>32</v>
      </c>
      <c r="AB4" s="10">
        <f t="shared" si="0"/>
        <v>4.7021300000000002E-2</v>
      </c>
    </row>
    <row r="5" spans="1:28" s="4" customFormat="1" ht="13" x14ac:dyDescent="0.3">
      <c r="A5" s="5">
        <v>420</v>
      </c>
      <c r="B5" s="6" t="s">
        <v>28</v>
      </c>
      <c r="C5" s="7">
        <v>43580</v>
      </c>
      <c r="D5" s="8">
        <v>11</v>
      </c>
      <c r="E5" s="9" t="s">
        <v>55</v>
      </c>
      <c r="F5" s="8" t="s">
        <v>61</v>
      </c>
      <c r="G5" s="9" t="s">
        <v>62</v>
      </c>
      <c r="H5" s="8" t="str">
        <f>"000037"</f>
        <v>000037</v>
      </c>
      <c r="I5" s="7">
        <v>42510</v>
      </c>
      <c r="J5" s="8" t="str">
        <f>"000073"</f>
        <v>000073</v>
      </c>
      <c r="K5" s="7">
        <v>42913</v>
      </c>
      <c r="L5" s="8" t="str">
        <f>"000154"</f>
        <v>000154</v>
      </c>
      <c r="M5" s="7">
        <v>42916</v>
      </c>
      <c r="N5" s="8">
        <v>16</v>
      </c>
      <c r="O5" s="8" t="str">
        <f>"000727"</f>
        <v>000727</v>
      </c>
      <c r="P5" s="7">
        <v>43578</v>
      </c>
      <c r="Q5" s="10">
        <v>44.415309999999998</v>
      </c>
      <c r="R5" s="10">
        <v>3.65164</v>
      </c>
      <c r="S5" s="10">
        <v>40.763669999999998</v>
      </c>
      <c r="T5" s="8">
        <v>28</v>
      </c>
      <c r="U5" s="7">
        <v>43580</v>
      </c>
      <c r="V5" s="8">
        <v>9845818296</v>
      </c>
      <c r="W5" s="9" t="s">
        <v>63</v>
      </c>
      <c r="X5" s="8" t="s">
        <v>42</v>
      </c>
      <c r="Y5" s="9" t="s">
        <v>43</v>
      </c>
      <c r="Z5" s="8" t="s">
        <v>51</v>
      </c>
      <c r="AA5" s="9" t="s">
        <v>52</v>
      </c>
      <c r="AB5" s="10">
        <f t="shared" si="0"/>
        <v>0.44415309999999997</v>
      </c>
    </row>
    <row r="6" spans="1:28" s="4" customFormat="1" ht="13" x14ac:dyDescent="0.3">
      <c r="A6" s="5">
        <v>421</v>
      </c>
      <c r="B6" s="6" t="s">
        <v>28</v>
      </c>
      <c r="C6" s="7">
        <v>43580</v>
      </c>
      <c r="D6" s="8">
        <v>11</v>
      </c>
      <c r="E6" s="9" t="s">
        <v>55</v>
      </c>
      <c r="F6" s="8" t="s">
        <v>59</v>
      </c>
      <c r="G6" s="9" t="s">
        <v>60</v>
      </c>
      <c r="H6" s="8" t="str">
        <f>"000029"</f>
        <v>000029</v>
      </c>
      <c r="I6" s="7">
        <v>42737</v>
      </c>
      <c r="J6" s="8" t="str">
        <f>""</f>
        <v/>
      </c>
      <c r="K6" s="7">
        <v>43111</v>
      </c>
      <c r="L6" s="8" t="str">
        <f>""</f>
        <v/>
      </c>
      <c r="M6" s="7"/>
      <c r="N6" s="8">
        <v>16</v>
      </c>
      <c r="O6" s="8" t="str">
        <f>""</f>
        <v/>
      </c>
      <c r="P6" s="7"/>
      <c r="Q6" s="10">
        <v>2.35107</v>
      </c>
      <c r="R6" s="10">
        <v>0.38494</v>
      </c>
      <c r="S6" s="10">
        <v>1.9661299999999999</v>
      </c>
      <c r="T6" s="8">
        <v>29</v>
      </c>
      <c r="U6" s="7">
        <v>43580</v>
      </c>
      <c r="V6" s="8">
        <v>9945535033</v>
      </c>
      <c r="W6" s="9" t="s">
        <v>54</v>
      </c>
      <c r="X6" s="8" t="s">
        <v>29</v>
      </c>
      <c r="Y6" s="9" t="s">
        <v>30</v>
      </c>
      <c r="Z6" s="8" t="s">
        <v>31</v>
      </c>
      <c r="AA6" s="9" t="s">
        <v>32</v>
      </c>
      <c r="AB6" s="10">
        <f t="shared" si="0"/>
        <v>2.3510699999999999E-2</v>
      </c>
    </row>
    <row r="7" spans="1:28" s="4" customFormat="1" ht="13" x14ac:dyDescent="0.3">
      <c r="A7" s="5">
        <v>422</v>
      </c>
      <c r="B7" s="6" t="s">
        <v>38</v>
      </c>
      <c r="C7" s="7">
        <v>43600</v>
      </c>
      <c r="D7" s="8">
        <v>11</v>
      </c>
      <c r="E7" s="9" t="s">
        <v>55</v>
      </c>
      <c r="F7" s="8" t="s">
        <v>96</v>
      </c>
      <c r="G7" s="9" t="s">
        <v>97</v>
      </c>
      <c r="H7" s="8" t="str">
        <f>"000014"</f>
        <v>000014</v>
      </c>
      <c r="I7" s="7">
        <v>42893</v>
      </c>
      <c r="J7" s="8" t="str">
        <f>"000178"</f>
        <v>000178</v>
      </c>
      <c r="K7" s="7">
        <v>43540</v>
      </c>
      <c r="L7" s="8" t="str">
        <f>"000178"</f>
        <v>000178</v>
      </c>
      <c r="M7" s="7">
        <v>43540</v>
      </c>
      <c r="N7" s="8">
        <v>17</v>
      </c>
      <c r="O7" s="8" t="str">
        <f>"001478"</f>
        <v>001478</v>
      </c>
      <c r="P7" s="7">
        <v>43598</v>
      </c>
      <c r="Q7" s="10">
        <v>2.9</v>
      </c>
      <c r="R7" s="10">
        <v>0.28999999999999998</v>
      </c>
      <c r="S7" s="10">
        <v>2.61</v>
      </c>
      <c r="T7" s="8">
        <v>44</v>
      </c>
      <c r="U7" s="7">
        <v>43600</v>
      </c>
      <c r="V7" s="8">
        <v>9448353883</v>
      </c>
      <c r="W7" s="9" t="s">
        <v>41</v>
      </c>
      <c r="X7" s="8" t="s">
        <v>46</v>
      </c>
      <c r="Y7" s="9" t="s">
        <v>47</v>
      </c>
      <c r="Z7" s="8" t="s">
        <v>33</v>
      </c>
      <c r="AA7" s="9" t="s">
        <v>34</v>
      </c>
      <c r="AB7" s="10">
        <f t="shared" si="0"/>
        <v>2.8999999999999998E-2</v>
      </c>
    </row>
    <row r="8" spans="1:28" s="4" customFormat="1" ht="13" x14ac:dyDescent="0.3">
      <c r="A8" s="5">
        <v>423</v>
      </c>
      <c r="B8" s="6" t="s">
        <v>38</v>
      </c>
      <c r="C8" s="7">
        <v>43602</v>
      </c>
      <c r="D8" s="8">
        <v>11</v>
      </c>
      <c r="E8" s="9" t="s">
        <v>55</v>
      </c>
      <c r="F8" s="8" t="s">
        <v>98</v>
      </c>
      <c r="G8" s="9" t="s">
        <v>99</v>
      </c>
      <c r="H8" s="8" t="str">
        <f>"000133"</f>
        <v>000133</v>
      </c>
      <c r="I8" s="7">
        <v>42667</v>
      </c>
      <c r="J8" s="8" t="str">
        <f>"000010"</f>
        <v>000010</v>
      </c>
      <c r="K8" s="7">
        <v>43001</v>
      </c>
      <c r="L8" s="8" t="str">
        <f>"000024"</f>
        <v>000024</v>
      </c>
      <c r="M8" s="7">
        <v>43001</v>
      </c>
      <c r="N8" s="8">
        <v>16</v>
      </c>
      <c r="O8" s="8" t="str">
        <f>"001569"</f>
        <v>001569</v>
      </c>
      <c r="P8" s="7">
        <v>43599</v>
      </c>
      <c r="Q8" s="10">
        <v>19.999389999999998</v>
      </c>
      <c r="R8" s="10">
        <v>2.1564199999999998</v>
      </c>
      <c r="S8" s="10">
        <v>17.842970000000001</v>
      </c>
      <c r="T8" s="8">
        <v>49</v>
      </c>
      <c r="U8" s="7">
        <v>43602</v>
      </c>
      <c r="V8" s="8">
        <v>9449863065</v>
      </c>
      <c r="W8" s="9" t="s">
        <v>50</v>
      </c>
      <c r="X8" s="8" t="s">
        <v>39</v>
      </c>
      <c r="Y8" s="9" t="s">
        <v>40</v>
      </c>
      <c r="Z8" s="8" t="s">
        <v>51</v>
      </c>
      <c r="AA8" s="9" t="s">
        <v>52</v>
      </c>
      <c r="AB8" s="10">
        <f t="shared" si="0"/>
        <v>0.19999389999999997</v>
      </c>
    </row>
    <row r="9" spans="1:28" s="4" customFormat="1" ht="13" x14ac:dyDescent="0.3">
      <c r="A9" s="5">
        <v>424</v>
      </c>
      <c r="B9" s="6" t="s">
        <v>38</v>
      </c>
      <c r="C9" s="7">
        <v>43602</v>
      </c>
      <c r="D9" s="8">
        <v>11</v>
      </c>
      <c r="E9" s="9" t="s">
        <v>55</v>
      </c>
      <c r="F9" s="8" t="s">
        <v>100</v>
      </c>
      <c r="G9" s="9" t="s">
        <v>101</v>
      </c>
      <c r="H9" s="8" t="str">
        <f>"000134"</f>
        <v>000134</v>
      </c>
      <c r="I9" s="7">
        <v>42667</v>
      </c>
      <c r="J9" s="8" t="str">
        <f>"000012"</f>
        <v>000012</v>
      </c>
      <c r="K9" s="7">
        <v>43001</v>
      </c>
      <c r="L9" s="8" t="str">
        <f>"000026"</f>
        <v>000026</v>
      </c>
      <c r="M9" s="7">
        <v>43001</v>
      </c>
      <c r="N9" s="8">
        <v>16</v>
      </c>
      <c r="O9" s="8" t="str">
        <f>"001570"</f>
        <v>001570</v>
      </c>
      <c r="P9" s="7">
        <v>43599</v>
      </c>
      <c r="Q9" s="10">
        <v>9.97532</v>
      </c>
      <c r="R9" s="10">
        <v>1.1059600000000001</v>
      </c>
      <c r="S9" s="10">
        <v>8.8693600000000004</v>
      </c>
      <c r="T9" s="8">
        <v>49</v>
      </c>
      <c r="U9" s="7">
        <v>43602</v>
      </c>
      <c r="V9" s="8">
        <v>9449863065</v>
      </c>
      <c r="W9" s="9" t="s">
        <v>50</v>
      </c>
      <c r="X9" s="8" t="s">
        <v>39</v>
      </c>
      <c r="Y9" s="9" t="s">
        <v>40</v>
      </c>
      <c r="Z9" s="8" t="s">
        <v>51</v>
      </c>
      <c r="AA9" s="9" t="s">
        <v>52</v>
      </c>
      <c r="AB9" s="10">
        <f t="shared" si="0"/>
        <v>9.97532E-2</v>
      </c>
    </row>
    <row r="10" spans="1:28" s="4" customFormat="1" ht="13" x14ac:dyDescent="0.3">
      <c r="A10" s="5">
        <v>425</v>
      </c>
      <c r="B10" s="6" t="s">
        <v>38</v>
      </c>
      <c r="C10" s="7">
        <v>43603</v>
      </c>
      <c r="D10" s="8">
        <v>11</v>
      </c>
      <c r="E10" s="9" t="s">
        <v>55</v>
      </c>
      <c r="F10" s="8" t="s">
        <v>102</v>
      </c>
      <c r="G10" s="9" t="s">
        <v>103</v>
      </c>
      <c r="H10" s="8" t="str">
        <f>"000084"</f>
        <v>000084</v>
      </c>
      <c r="I10" s="7">
        <v>42584</v>
      </c>
      <c r="J10" s="8" t="str">
        <f>"000013"</f>
        <v>000013</v>
      </c>
      <c r="K10" s="7">
        <v>43001</v>
      </c>
      <c r="L10" s="8" t="str">
        <f>"000032"</f>
        <v>000032</v>
      </c>
      <c r="M10" s="7">
        <v>43012</v>
      </c>
      <c r="N10" s="8">
        <v>16</v>
      </c>
      <c r="O10" s="8" t="str">
        <f>"001698"</f>
        <v>001698</v>
      </c>
      <c r="P10" s="7">
        <v>43602</v>
      </c>
      <c r="Q10" s="10">
        <v>29.594519999999999</v>
      </c>
      <c r="R10" s="10">
        <v>1.6433199999999999</v>
      </c>
      <c r="S10" s="10">
        <v>27.9512</v>
      </c>
      <c r="T10" s="8">
        <v>50</v>
      </c>
      <c r="U10" s="7">
        <v>43603</v>
      </c>
      <c r="V10" s="8">
        <v>9845547072</v>
      </c>
      <c r="W10" s="9" t="s">
        <v>104</v>
      </c>
      <c r="X10" s="8" t="s">
        <v>36</v>
      </c>
      <c r="Y10" s="9" t="s">
        <v>37</v>
      </c>
      <c r="Z10" s="8" t="s">
        <v>51</v>
      </c>
      <c r="AA10" s="9" t="s">
        <v>52</v>
      </c>
      <c r="AB10" s="10">
        <f t="shared" si="0"/>
        <v>0.29594520000000002</v>
      </c>
    </row>
    <row r="11" spans="1:28" s="4" customFormat="1" ht="13" x14ac:dyDescent="0.3">
      <c r="A11" s="5">
        <v>426</v>
      </c>
      <c r="B11" s="6" t="s">
        <v>38</v>
      </c>
      <c r="C11" s="7">
        <v>43606</v>
      </c>
      <c r="D11" s="8">
        <v>11</v>
      </c>
      <c r="E11" s="9" t="s">
        <v>55</v>
      </c>
      <c r="F11" s="8" t="s">
        <v>59</v>
      </c>
      <c r="G11" s="9" t="s">
        <v>60</v>
      </c>
      <c r="H11" s="8" t="str">
        <f>"000029"</f>
        <v>000029</v>
      </c>
      <c r="I11" s="7">
        <v>42737</v>
      </c>
      <c r="J11" s="8" t="str">
        <f>""</f>
        <v/>
      </c>
      <c r="K11" s="7">
        <v>43111</v>
      </c>
      <c r="L11" s="8" t="str">
        <f>""</f>
        <v/>
      </c>
      <c r="M11" s="7"/>
      <c r="N11" s="8">
        <v>16</v>
      </c>
      <c r="O11" s="8" t="str">
        <f>""</f>
        <v/>
      </c>
      <c r="P11" s="7"/>
      <c r="Q11" s="10">
        <v>4.1798000000000002</v>
      </c>
      <c r="R11" s="10">
        <v>0.49401</v>
      </c>
      <c r="S11" s="10">
        <v>3.6857899999999999</v>
      </c>
      <c r="T11" s="8">
        <v>55</v>
      </c>
      <c r="U11" s="7">
        <v>43606</v>
      </c>
      <c r="V11" s="8">
        <v>9945535033</v>
      </c>
      <c r="W11" s="9" t="s">
        <v>54</v>
      </c>
      <c r="X11" s="8" t="s">
        <v>29</v>
      </c>
      <c r="Y11" s="9" t="s">
        <v>30</v>
      </c>
      <c r="Z11" s="8" t="s">
        <v>31</v>
      </c>
      <c r="AA11" s="9" t="s">
        <v>32</v>
      </c>
      <c r="AB11" s="10">
        <f t="shared" si="0"/>
        <v>4.1798000000000002E-2</v>
      </c>
    </row>
    <row r="12" spans="1:28" s="4" customFormat="1" ht="13" x14ac:dyDescent="0.3">
      <c r="A12" s="5">
        <v>427</v>
      </c>
      <c r="B12" s="6" t="s">
        <v>38</v>
      </c>
      <c r="C12" s="7">
        <v>43606</v>
      </c>
      <c r="D12" s="8">
        <v>11</v>
      </c>
      <c r="E12" s="9" t="s">
        <v>55</v>
      </c>
      <c r="F12" s="8" t="s">
        <v>59</v>
      </c>
      <c r="G12" s="9" t="s">
        <v>60</v>
      </c>
      <c r="H12" s="8" t="str">
        <f>"000029"</f>
        <v>000029</v>
      </c>
      <c r="I12" s="7">
        <v>42737</v>
      </c>
      <c r="J12" s="8" t="str">
        <f>""</f>
        <v/>
      </c>
      <c r="K12" s="7">
        <v>43111</v>
      </c>
      <c r="L12" s="8" t="str">
        <f>""</f>
        <v/>
      </c>
      <c r="M12" s="7"/>
      <c r="N12" s="8">
        <v>16</v>
      </c>
      <c r="O12" s="8" t="str">
        <f>""</f>
        <v/>
      </c>
      <c r="P12" s="7"/>
      <c r="Q12" s="10">
        <v>4.4035500000000001</v>
      </c>
      <c r="R12" s="10">
        <v>0.47937000000000002</v>
      </c>
      <c r="S12" s="10">
        <v>3.9241799999999998</v>
      </c>
      <c r="T12" s="8">
        <v>55</v>
      </c>
      <c r="U12" s="7">
        <v>43606</v>
      </c>
      <c r="V12" s="8">
        <v>9945535033</v>
      </c>
      <c r="W12" s="9" t="s">
        <v>54</v>
      </c>
      <c r="X12" s="8" t="s">
        <v>29</v>
      </c>
      <c r="Y12" s="9" t="s">
        <v>30</v>
      </c>
      <c r="Z12" s="8" t="s">
        <v>31</v>
      </c>
      <c r="AA12" s="9" t="s">
        <v>32</v>
      </c>
      <c r="AB12" s="10">
        <f t="shared" si="0"/>
        <v>4.4035499999999998E-2</v>
      </c>
    </row>
    <row r="13" spans="1:28" s="4" customFormat="1" ht="13" x14ac:dyDescent="0.3">
      <c r="A13" s="5">
        <v>428</v>
      </c>
      <c r="B13" s="6" t="s">
        <v>38</v>
      </c>
      <c r="C13" s="7">
        <v>43615</v>
      </c>
      <c r="D13" s="8">
        <v>11</v>
      </c>
      <c r="E13" s="9" t="s">
        <v>55</v>
      </c>
      <c r="F13" s="8" t="s">
        <v>105</v>
      </c>
      <c r="G13" s="9" t="s">
        <v>106</v>
      </c>
      <c r="H13" s="8" t="str">
        <f>"000015"</f>
        <v>000015</v>
      </c>
      <c r="I13" s="7">
        <v>42832</v>
      </c>
      <c r="J13" s="8" t="str">
        <f>"000014"</f>
        <v>000014</v>
      </c>
      <c r="K13" s="7">
        <v>43006</v>
      </c>
      <c r="L13" s="8" t="str">
        <f>"000044"</f>
        <v>000044</v>
      </c>
      <c r="M13" s="7">
        <v>43048</v>
      </c>
      <c r="N13" s="8">
        <v>17</v>
      </c>
      <c r="O13" s="8" t="str">
        <f>"002177"</f>
        <v>002177</v>
      </c>
      <c r="P13" s="7">
        <v>43613</v>
      </c>
      <c r="Q13" s="10">
        <v>24.587900000000001</v>
      </c>
      <c r="R13" s="10">
        <v>1.32016</v>
      </c>
      <c r="S13" s="10">
        <v>23.26774</v>
      </c>
      <c r="T13" s="8">
        <v>65</v>
      </c>
      <c r="U13" s="7">
        <v>43615</v>
      </c>
      <c r="V13" s="8">
        <v>9341476197</v>
      </c>
      <c r="W13" s="9" t="s">
        <v>107</v>
      </c>
      <c r="X13" s="8" t="s">
        <v>36</v>
      </c>
      <c r="Y13" s="9" t="s">
        <v>37</v>
      </c>
      <c r="Z13" s="8" t="s">
        <v>51</v>
      </c>
      <c r="AA13" s="9" t="s">
        <v>52</v>
      </c>
      <c r="AB13" s="10">
        <f t="shared" si="0"/>
        <v>0.24587900000000001</v>
      </c>
    </row>
    <row r="14" spans="1:28" s="4" customFormat="1" ht="13" x14ac:dyDescent="0.3">
      <c r="A14" s="5">
        <v>429</v>
      </c>
      <c r="B14" s="6" t="s">
        <v>38</v>
      </c>
      <c r="C14" s="7">
        <v>43615</v>
      </c>
      <c r="D14" s="8">
        <v>11</v>
      </c>
      <c r="E14" s="9" t="s">
        <v>55</v>
      </c>
      <c r="F14" s="8" t="s">
        <v>108</v>
      </c>
      <c r="G14" s="9" t="s">
        <v>109</v>
      </c>
      <c r="H14" s="8" t="str">
        <f>"000089"</f>
        <v>000089</v>
      </c>
      <c r="I14" s="7">
        <v>42914</v>
      </c>
      <c r="J14" s="8" t="str">
        <f>"000019"</f>
        <v>000019</v>
      </c>
      <c r="K14" s="7">
        <v>43055</v>
      </c>
      <c r="L14" s="8" t="str">
        <f>"000057"</f>
        <v>000057</v>
      </c>
      <c r="M14" s="7">
        <v>43068</v>
      </c>
      <c r="N14" s="8">
        <v>17</v>
      </c>
      <c r="O14" s="8" t="str">
        <f>"002215"</f>
        <v>002215</v>
      </c>
      <c r="P14" s="7">
        <v>43613</v>
      </c>
      <c r="Q14" s="10">
        <v>19.734300000000001</v>
      </c>
      <c r="R14" s="10">
        <v>1.0459000000000001</v>
      </c>
      <c r="S14" s="10">
        <v>18.688400000000001</v>
      </c>
      <c r="T14" s="8">
        <v>65</v>
      </c>
      <c r="U14" s="7">
        <v>43615</v>
      </c>
      <c r="V14" s="8">
        <v>0</v>
      </c>
      <c r="W14" s="9" t="s">
        <v>53</v>
      </c>
      <c r="X14" s="8" t="s">
        <v>36</v>
      </c>
      <c r="Y14" s="9" t="s">
        <v>37</v>
      </c>
      <c r="Z14" s="8" t="s">
        <v>51</v>
      </c>
      <c r="AA14" s="9" t="s">
        <v>52</v>
      </c>
      <c r="AB14" s="10">
        <f t="shared" si="0"/>
        <v>0.19734300000000002</v>
      </c>
    </row>
    <row r="15" spans="1:28" s="4" customFormat="1" ht="13" x14ac:dyDescent="0.3">
      <c r="A15" s="5">
        <v>430</v>
      </c>
      <c r="B15" s="6" t="s">
        <v>35</v>
      </c>
      <c r="C15" s="7">
        <v>43622</v>
      </c>
      <c r="D15" s="8">
        <v>11</v>
      </c>
      <c r="E15" s="9" t="s">
        <v>55</v>
      </c>
      <c r="F15" s="8" t="s">
        <v>64</v>
      </c>
      <c r="G15" s="9" t="s">
        <v>65</v>
      </c>
      <c r="H15" s="8" t="str">
        <f>"000146"</f>
        <v>000146</v>
      </c>
      <c r="I15" s="7">
        <v>43186</v>
      </c>
      <c r="J15" s="8" t="str">
        <f>"000094"</f>
        <v>000094</v>
      </c>
      <c r="K15" s="7">
        <v>43511</v>
      </c>
      <c r="L15" s="8" t="str">
        <f>"000223"</f>
        <v>000223</v>
      </c>
      <c r="M15" s="7">
        <v>43514</v>
      </c>
      <c r="N15" s="8">
        <v>18</v>
      </c>
      <c r="O15" s="8" t="str">
        <f>"002284"</f>
        <v>002284</v>
      </c>
      <c r="P15" s="7">
        <v>43615</v>
      </c>
      <c r="Q15" s="10">
        <v>24.9712</v>
      </c>
      <c r="R15" s="10">
        <v>3.0095499999999999</v>
      </c>
      <c r="S15" s="10">
        <v>21.961649999999999</v>
      </c>
      <c r="T15" s="8">
        <v>70</v>
      </c>
      <c r="U15" s="7">
        <v>43622</v>
      </c>
      <c r="V15" s="8">
        <v>9449863065</v>
      </c>
      <c r="W15" s="9" t="s">
        <v>66</v>
      </c>
      <c r="X15" s="8" t="s">
        <v>45</v>
      </c>
      <c r="Y15" s="9" t="s">
        <v>44</v>
      </c>
      <c r="Z15" s="8" t="s">
        <v>51</v>
      </c>
      <c r="AA15" s="9" t="s">
        <v>52</v>
      </c>
      <c r="AB15" s="10">
        <v>0.24971199999999999</v>
      </c>
    </row>
    <row r="16" spans="1:28" s="4" customFormat="1" ht="13" x14ac:dyDescent="0.3">
      <c r="A16" s="5">
        <v>431</v>
      </c>
      <c r="B16" s="6" t="s">
        <v>35</v>
      </c>
      <c r="C16" s="7">
        <v>43622</v>
      </c>
      <c r="D16" s="8">
        <v>11</v>
      </c>
      <c r="E16" s="9" t="s">
        <v>55</v>
      </c>
      <c r="F16" s="8" t="s">
        <v>67</v>
      </c>
      <c r="G16" s="9" t="s">
        <v>68</v>
      </c>
      <c r="H16" s="8" t="str">
        <f>"000137"</f>
        <v>000137</v>
      </c>
      <c r="I16" s="7">
        <v>43186</v>
      </c>
      <c r="J16" s="8" t="str">
        <f>"000092"</f>
        <v>000092</v>
      </c>
      <c r="K16" s="7">
        <v>43511</v>
      </c>
      <c r="L16" s="8" t="str">
        <f>"000224"</f>
        <v>000224</v>
      </c>
      <c r="M16" s="7">
        <v>43514</v>
      </c>
      <c r="N16" s="8">
        <v>18</v>
      </c>
      <c r="O16" s="8" t="str">
        <f>"002285"</f>
        <v>002285</v>
      </c>
      <c r="P16" s="7">
        <v>43615</v>
      </c>
      <c r="Q16" s="10">
        <v>27.990639999999999</v>
      </c>
      <c r="R16" s="10">
        <v>3.3801000000000001</v>
      </c>
      <c r="S16" s="10">
        <v>24.61054</v>
      </c>
      <c r="T16" s="8">
        <v>70</v>
      </c>
      <c r="U16" s="7">
        <v>43622</v>
      </c>
      <c r="V16" s="8">
        <v>9449863065</v>
      </c>
      <c r="W16" s="9" t="s">
        <v>66</v>
      </c>
      <c r="X16" s="8" t="s">
        <v>45</v>
      </c>
      <c r="Y16" s="9" t="s">
        <v>44</v>
      </c>
      <c r="Z16" s="8" t="s">
        <v>51</v>
      </c>
      <c r="AA16" s="9" t="s">
        <v>52</v>
      </c>
      <c r="AB16" s="10">
        <v>0.2799064</v>
      </c>
    </row>
    <row r="17" spans="1:28" s="4" customFormat="1" ht="13" x14ac:dyDescent="0.3">
      <c r="A17" s="5">
        <v>432</v>
      </c>
      <c r="B17" s="6" t="s">
        <v>35</v>
      </c>
      <c r="C17" s="7">
        <v>43622</v>
      </c>
      <c r="D17" s="8">
        <v>11</v>
      </c>
      <c r="E17" s="9" t="s">
        <v>55</v>
      </c>
      <c r="F17" s="8" t="s">
        <v>69</v>
      </c>
      <c r="G17" s="9" t="s">
        <v>70</v>
      </c>
      <c r="H17" s="8" t="str">
        <f>"000134"</f>
        <v>000134</v>
      </c>
      <c r="I17" s="7">
        <v>43186</v>
      </c>
      <c r="J17" s="8" t="str">
        <f>"000093"</f>
        <v>000093</v>
      </c>
      <c r="K17" s="7">
        <v>43511</v>
      </c>
      <c r="L17" s="8" t="str">
        <f>"000225"</f>
        <v>000225</v>
      </c>
      <c r="M17" s="7">
        <v>43514</v>
      </c>
      <c r="N17" s="8">
        <v>18</v>
      </c>
      <c r="O17" s="8" t="str">
        <f>"002286"</f>
        <v>002286</v>
      </c>
      <c r="P17" s="7">
        <v>43615</v>
      </c>
      <c r="Q17" s="10">
        <v>24.985220000000002</v>
      </c>
      <c r="R17" s="10">
        <v>3.0156800000000001</v>
      </c>
      <c r="S17" s="10">
        <v>21.969539999999999</v>
      </c>
      <c r="T17" s="8">
        <v>70</v>
      </c>
      <c r="U17" s="7">
        <v>43622</v>
      </c>
      <c r="V17" s="8">
        <v>9449863065</v>
      </c>
      <c r="W17" s="9" t="s">
        <v>66</v>
      </c>
      <c r="X17" s="8" t="s">
        <v>45</v>
      </c>
      <c r="Y17" s="9" t="s">
        <v>44</v>
      </c>
      <c r="Z17" s="8" t="s">
        <v>51</v>
      </c>
      <c r="AA17" s="9" t="s">
        <v>52</v>
      </c>
      <c r="AB17" s="10">
        <v>0.24985220000000002</v>
      </c>
    </row>
    <row r="18" spans="1:28" s="4" customFormat="1" ht="13" x14ac:dyDescent="0.3">
      <c r="A18" s="5">
        <v>433</v>
      </c>
      <c r="B18" s="6" t="s">
        <v>35</v>
      </c>
      <c r="C18" s="7">
        <v>43622</v>
      </c>
      <c r="D18" s="8">
        <v>11</v>
      </c>
      <c r="E18" s="9" t="s">
        <v>55</v>
      </c>
      <c r="F18" s="8" t="s">
        <v>71</v>
      </c>
      <c r="G18" s="9" t="s">
        <v>72</v>
      </c>
      <c r="H18" s="8" t="str">
        <f>"000144"</f>
        <v>000144</v>
      </c>
      <c r="I18" s="7">
        <v>43186</v>
      </c>
      <c r="J18" s="8" t="str">
        <f>"000091"</f>
        <v>000091</v>
      </c>
      <c r="K18" s="7">
        <v>43511</v>
      </c>
      <c r="L18" s="8" t="str">
        <f>"000226"</f>
        <v>000226</v>
      </c>
      <c r="M18" s="7">
        <v>43515</v>
      </c>
      <c r="N18" s="8">
        <v>18</v>
      </c>
      <c r="O18" s="8" t="str">
        <f>"002287"</f>
        <v>002287</v>
      </c>
      <c r="P18" s="7">
        <v>43615</v>
      </c>
      <c r="Q18" s="10">
        <v>26.987649999999999</v>
      </c>
      <c r="R18" s="10">
        <v>3.2565900000000001</v>
      </c>
      <c r="S18" s="10">
        <v>23.731059999999999</v>
      </c>
      <c r="T18" s="8">
        <v>70</v>
      </c>
      <c r="U18" s="7">
        <v>43622</v>
      </c>
      <c r="V18" s="8">
        <v>9449863065</v>
      </c>
      <c r="W18" s="9" t="s">
        <v>66</v>
      </c>
      <c r="X18" s="8" t="s">
        <v>45</v>
      </c>
      <c r="Y18" s="9" t="s">
        <v>44</v>
      </c>
      <c r="Z18" s="8" t="s">
        <v>51</v>
      </c>
      <c r="AA18" s="9" t="s">
        <v>52</v>
      </c>
      <c r="AB18" s="10">
        <v>0.26987649999999996</v>
      </c>
    </row>
    <row r="19" spans="1:28" s="4" customFormat="1" ht="13" x14ac:dyDescent="0.3">
      <c r="A19" s="5">
        <v>434</v>
      </c>
      <c r="B19" s="6" t="s">
        <v>35</v>
      </c>
      <c r="C19" s="7">
        <v>43628</v>
      </c>
      <c r="D19" s="8">
        <v>11</v>
      </c>
      <c r="E19" s="9" t="s">
        <v>55</v>
      </c>
      <c r="F19" s="8" t="s">
        <v>73</v>
      </c>
      <c r="G19" s="9" t="s">
        <v>74</v>
      </c>
      <c r="H19" s="8" t="str">
        <f>"000088"</f>
        <v>000088</v>
      </c>
      <c r="I19" s="7">
        <v>42914</v>
      </c>
      <c r="J19" s="8" t="str">
        <f>"000020"</f>
        <v>000020</v>
      </c>
      <c r="K19" s="7">
        <v>43055</v>
      </c>
      <c r="L19" s="8" t="str">
        <f>"000056"</f>
        <v>000056</v>
      </c>
      <c r="M19" s="7">
        <v>43068</v>
      </c>
      <c r="N19" s="8">
        <v>17</v>
      </c>
      <c r="O19" s="8" t="str">
        <f>"002485"</f>
        <v>002485</v>
      </c>
      <c r="P19" s="7">
        <v>43622</v>
      </c>
      <c r="Q19" s="10">
        <v>29.635819999999999</v>
      </c>
      <c r="R19" s="10">
        <v>1.5611299999999999</v>
      </c>
      <c r="S19" s="10">
        <v>28.07469</v>
      </c>
      <c r="T19" s="8">
        <v>76</v>
      </c>
      <c r="U19" s="7">
        <v>43628</v>
      </c>
      <c r="V19" s="8">
        <v>0</v>
      </c>
      <c r="W19" s="9" t="s">
        <v>75</v>
      </c>
      <c r="X19" s="8" t="s">
        <v>36</v>
      </c>
      <c r="Y19" s="9" t="s">
        <v>37</v>
      </c>
      <c r="Z19" s="8" t="s">
        <v>51</v>
      </c>
      <c r="AA19" s="9" t="s">
        <v>52</v>
      </c>
      <c r="AB19" s="10">
        <v>0.29635820000000002</v>
      </c>
    </row>
    <row r="20" spans="1:28" s="4" customFormat="1" ht="13" x14ac:dyDescent="0.3">
      <c r="A20" s="5">
        <v>435</v>
      </c>
      <c r="B20" s="6" t="s">
        <v>35</v>
      </c>
      <c r="C20" s="7">
        <v>43628</v>
      </c>
      <c r="D20" s="8">
        <v>11</v>
      </c>
      <c r="E20" s="9" t="s">
        <v>55</v>
      </c>
      <c r="F20" s="8" t="s">
        <v>76</v>
      </c>
      <c r="G20" s="9" t="s">
        <v>77</v>
      </c>
      <c r="H20" s="8" t="str">
        <f>"000035"</f>
        <v>000035</v>
      </c>
      <c r="I20" s="7">
        <v>43498</v>
      </c>
      <c r="J20" s="8" t="str">
        <f>"000172"</f>
        <v>000172</v>
      </c>
      <c r="K20" s="7">
        <v>43537</v>
      </c>
      <c r="L20" s="8" t="str">
        <f>"000172"</f>
        <v>000172</v>
      </c>
      <c r="M20" s="7">
        <v>43537</v>
      </c>
      <c r="N20" s="8">
        <v>19</v>
      </c>
      <c r="O20" s="8" t="str">
        <f>"002368"</f>
        <v>002368</v>
      </c>
      <c r="P20" s="7">
        <v>43619</v>
      </c>
      <c r="Q20" s="10">
        <v>1.96</v>
      </c>
      <c r="R20" s="10">
        <v>0.19600000000000001</v>
      </c>
      <c r="S20" s="10">
        <v>1.764</v>
      </c>
      <c r="T20" s="8">
        <v>77</v>
      </c>
      <c r="U20" s="7">
        <v>43628</v>
      </c>
      <c r="V20" s="8">
        <v>9448353883</v>
      </c>
      <c r="W20" s="9" t="s">
        <v>78</v>
      </c>
      <c r="X20" s="8" t="s">
        <v>45</v>
      </c>
      <c r="Y20" s="9" t="s">
        <v>44</v>
      </c>
      <c r="Z20" s="8" t="s">
        <v>33</v>
      </c>
      <c r="AA20" s="9" t="s">
        <v>34</v>
      </c>
      <c r="AB20" s="10">
        <v>1.9599999999999999E-2</v>
      </c>
    </row>
    <row r="21" spans="1:28" s="4" customFormat="1" ht="13" x14ac:dyDescent="0.3">
      <c r="A21" s="5">
        <v>436</v>
      </c>
      <c r="B21" s="6" t="s">
        <v>35</v>
      </c>
      <c r="C21" s="7">
        <v>43628</v>
      </c>
      <c r="D21" s="8">
        <v>11</v>
      </c>
      <c r="E21" s="9" t="s">
        <v>55</v>
      </c>
      <c r="F21" s="8" t="s">
        <v>79</v>
      </c>
      <c r="G21" s="9" t="s">
        <v>80</v>
      </c>
      <c r="H21" s="8" t="str">
        <f>"000036"</f>
        <v>000036</v>
      </c>
      <c r="I21" s="7">
        <v>43498</v>
      </c>
      <c r="J21" s="8" t="str">
        <f>"000173"</f>
        <v>000173</v>
      </c>
      <c r="K21" s="7">
        <v>43537</v>
      </c>
      <c r="L21" s="8" t="str">
        <f>"000173"</f>
        <v>000173</v>
      </c>
      <c r="M21" s="7">
        <v>43537</v>
      </c>
      <c r="N21" s="8">
        <v>19</v>
      </c>
      <c r="O21" s="8" t="str">
        <f>"002369"</f>
        <v>002369</v>
      </c>
      <c r="P21" s="7">
        <v>43619</v>
      </c>
      <c r="Q21" s="10">
        <v>1.96</v>
      </c>
      <c r="R21" s="10">
        <v>0.19600000000000001</v>
      </c>
      <c r="S21" s="10">
        <v>1.764</v>
      </c>
      <c r="T21" s="8">
        <v>77</v>
      </c>
      <c r="U21" s="7">
        <v>43628</v>
      </c>
      <c r="V21" s="8">
        <v>9448353883</v>
      </c>
      <c r="W21" s="9" t="s">
        <v>81</v>
      </c>
      <c r="X21" s="8" t="s">
        <v>45</v>
      </c>
      <c r="Y21" s="9" t="s">
        <v>44</v>
      </c>
      <c r="Z21" s="8" t="s">
        <v>33</v>
      </c>
      <c r="AA21" s="9" t="s">
        <v>34</v>
      </c>
      <c r="AB21" s="10">
        <v>1.9599999999999999E-2</v>
      </c>
    </row>
    <row r="22" spans="1:28" s="4" customFormat="1" ht="13" x14ac:dyDescent="0.3">
      <c r="A22" s="5">
        <v>437</v>
      </c>
      <c r="B22" s="6" t="s">
        <v>35</v>
      </c>
      <c r="C22" s="7">
        <v>43629</v>
      </c>
      <c r="D22" s="8">
        <v>11</v>
      </c>
      <c r="E22" s="9" t="s">
        <v>55</v>
      </c>
      <c r="F22" s="8" t="s">
        <v>82</v>
      </c>
      <c r="G22" s="9" t="s">
        <v>83</v>
      </c>
      <c r="H22" s="8" t="str">
        <f>"000291"</f>
        <v>000291</v>
      </c>
      <c r="I22" s="7">
        <v>42448</v>
      </c>
      <c r="J22" s="8" t="str">
        <f>"000026"</f>
        <v>000026</v>
      </c>
      <c r="K22" s="7">
        <v>43083</v>
      </c>
      <c r="L22" s="8" t="str">
        <f>"000070"</f>
        <v>000070</v>
      </c>
      <c r="M22" s="7">
        <v>43096</v>
      </c>
      <c r="N22" s="8">
        <v>15</v>
      </c>
      <c r="O22" s="8" t="str">
        <f>"002638"</f>
        <v>002638</v>
      </c>
      <c r="P22" s="7">
        <v>43627</v>
      </c>
      <c r="Q22" s="10">
        <v>10.37973</v>
      </c>
      <c r="R22" s="10">
        <v>0.48424</v>
      </c>
      <c r="S22" s="10">
        <v>9.8954900000000006</v>
      </c>
      <c r="T22" s="8">
        <v>79</v>
      </c>
      <c r="U22" s="7">
        <v>43629</v>
      </c>
      <c r="V22" s="8">
        <v>9740896389</v>
      </c>
      <c r="W22" s="9" t="s">
        <v>84</v>
      </c>
      <c r="X22" s="8" t="s">
        <v>48</v>
      </c>
      <c r="Y22" s="9" t="s">
        <v>49</v>
      </c>
      <c r="Z22" s="8" t="s">
        <v>51</v>
      </c>
      <c r="AA22" s="9" t="s">
        <v>52</v>
      </c>
      <c r="AB22" s="10">
        <v>0.10379730000000001</v>
      </c>
    </row>
    <row r="23" spans="1:28" s="4" customFormat="1" ht="13" x14ac:dyDescent="0.3">
      <c r="A23" s="5">
        <v>438</v>
      </c>
      <c r="B23" s="6" t="s">
        <v>35</v>
      </c>
      <c r="C23" s="7">
        <v>43629</v>
      </c>
      <c r="D23" s="8">
        <v>11</v>
      </c>
      <c r="E23" s="9" t="s">
        <v>55</v>
      </c>
      <c r="F23" s="8" t="s">
        <v>85</v>
      </c>
      <c r="G23" s="9" t="s">
        <v>86</v>
      </c>
      <c r="H23" s="8" t="str">
        <f>"000290"</f>
        <v>000290</v>
      </c>
      <c r="I23" s="7">
        <v>42448</v>
      </c>
      <c r="J23" s="8" t="str">
        <f>"000025"</f>
        <v>000025</v>
      </c>
      <c r="K23" s="7">
        <v>43083</v>
      </c>
      <c r="L23" s="8" t="str">
        <f>"000071"</f>
        <v>000071</v>
      </c>
      <c r="M23" s="7">
        <v>43096</v>
      </c>
      <c r="N23" s="8">
        <v>15</v>
      </c>
      <c r="O23" s="8" t="str">
        <f>"002639"</f>
        <v>002639</v>
      </c>
      <c r="P23" s="7">
        <v>43627</v>
      </c>
      <c r="Q23" s="10">
        <v>15.58095</v>
      </c>
      <c r="R23" s="10">
        <v>0.72008000000000005</v>
      </c>
      <c r="S23" s="10">
        <v>14.86087</v>
      </c>
      <c r="T23" s="8">
        <v>79</v>
      </c>
      <c r="U23" s="7">
        <v>43629</v>
      </c>
      <c r="V23" s="8">
        <v>9740896389</v>
      </c>
      <c r="W23" s="9" t="s">
        <v>84</v>
      </c>
      <c r="X23" s="8" t="s">
        <v>48</v>
      </c>
      <c r="Y23" s="9" t="s">
        <v>49</v>
      </c>
      <c r="Z23" s="8" t="s">
        <v>51</v>
      </c>
      <c r="AA23" s="9" t="s">
        <v>52</v>
      </c>
      <c r="AB23" s="10">
        <v>0.15580949999999999</v>
      </c>
    </row>
    <row r="24" spans="1:28" s="4" customFormat="1" ht="13" x14ac:dyDescent="0.3">
      <c r="A24" s="5">
        <v>439</v>
      </c>
      <c r="B24" s="6" t="s">
        <v>35</v>
      </c>
      <c r="C24" s="7">
        <v>43636</v>
      </c>
      <c r="D24" s="8">
        <v>11</v>
      </c>
      <c r="E24" s="9" t="s">
        <v>55</v>
      </c>
      <c r="F24" s="8" t="s">
        <v>87</v>
      </c>
      <c r="G24" s="9" t="s">
        <v>88</v>
      </c>
      <c r="H24" s="8" t="str">
        <f>"000188"</f>
        <v>000188</v>
      </c>
      <c r="I24" s="7">
        <v>42667</v>
      </c>
      <c r="J24" s="8" t="str">
        <f>"000011"</f>
        <v>000011</v>
      </c>
      <c r="K24" s="7">
        <v>43001</v>
      </c>
      <c r="L24" s="8" t="str">
        <f>"000025"</f>
        <v>000025</v>
      </c>
      <c r="M24" s="7">
        <v>43001</v>
      </c>
      <c r="N24" s="8">
        <v>16</v>
      </c>
      <c r="O24" s="8" t="str">
        <f>"002778"</f>
        <v>002778</v>
      </c>
      <c r="P24" s="7">
        <v>43631</v>
      </c>
      <c r="Q24" s="10">
        <v>49.95335</v>
      </c>
      <c r="R24" s="10">
        <v>5.2530400000000004</v>
      </c>
      <c r="S24" s="10">
        <v>44.700310000000002</v>
      </c>
      <c r="T24" s="8">
        <v>89</v>
      </c>
      <c r="U24" s="7">
        <v>43636</v>
      </c>
      <c r="V24" s="8">
        <v>9449863065</v>
      </c>
      <c r="W24" s="9" t="s">
        <v>50</v>
      </c>
      <c r="X24" s="8" t="s">
        <v>39</v>
      </c>
      <c r="Y24" s="9" t="s">
        <v>40</v>
      </c>
      <c r="Z24" s="8" t="s">
        <v>51</v>
      </c>
      <c r="AA24" s="9" t="s">
        <v>52</v>
      </c>
      <c r="AB24" s="10">
        <v>0.49953350000000002</v>
      </c>
    </row>
    <row r="25" spans="1:28" s="4" customFormat="1" ht="13" x14ac:dyDescent="0.3">
      <c r="A25" s="5">
        <v>440</v>
      </c>
      <c r="B25" s="6" t="s">
        <v>35</v>
      </c>
      <c r="C25" s="7">
        <v>43636</v>
      </c>
      <c r="D25" s="8">
        <v>11</v>
      </c>
      <c r="E25" s="9" t="s">
        <v>55</v>
      </c>
      <c r="F25" s="8" t="s">
        <v>89</v>
      </c>
      <c r="G25" s="9" t="s">
        <v>90</v>
      </c>
      <c r="H25" s="8" t="str">
        <f>"000293"</f>
        <v>000293</v>
      </c>
      <c r="I25" s="7">
        <v>42448</v>
      </c>
      <c r="J25" s="8" t="str">
        <f>"000027"</f>
        <v>000027</v>
      </c>
      <c r="K25" s="7">
        <v>43083</v>
      </c>
      <c r="L25" s="8" t="str">
        <f>"000072"</f>
        <v>000072</v>
      </c>
      <c r="M25" s="7">
        <v>43096</v>
      </c>
      <c r="N25" s="8">
        <v>15</v>
      </c>
      <c r="O25" s="8" t="str">
        <f>"002782"</f>
        <v>002782</v>
      </c>
      <c r="P25" s="7">
        <v>43633</v>
      </c>
      <c r="Q25" s="10">
        <v>10.385389999999999</v>
      </c>
      <c r="R25" s="10">
        <v>0.49589</v>
      </c>
      <c r="S25" s="10">
        <v>9.8895</v>
      </c>
      <c r="T25" s="8">
        <v>89</v>
      </c>
      <c r="U25" s="7">
        <v>43636</v>
      </c>
      <c r="V25" s="8">
        <v>9740896389</v>
      </c>
      <c r="W25" s="9" t="s">
        <v>84</v>
      </c>
      <c r="X25" s="8" t="s">
        <v>48</v>
      </c>
      <c r="Y25" s="9" t="s">
        <v>49</v>
      </c>
      <c r="Z25" s="8" t="s">
        <v>51</v>
      </c>
      <c r="AA25" s="9" t="s">
        <v>52</v>
      </c>
      <c r="AB25" s="10">
        <v>0.1038539</v>
      </c>
    </row>
    <row r="26" spans="1:28" s="4" customFormat="1" ht="13" x14ac:dyDescent="0.3">
      <c r="A26" s="5">
        <v>441</v>
      </c>
      <c r="B26" s="6" t="s">
        <v>35</v>
      </c>
      <c r="C26" s="7">
        <v>43636</v>
      </c>
      <c r="D26" s="8">
        <v>11</v>
      </c>
      <c r="E26" s="9" t="s">
        <v>55</v>
      </c>
      <c r="F26" s="8" t="s">
        <v>91</v>
      </c>
      <c r="G26" s="9" t="s">
        <v>92</v>
      </c>
      <c r="H26" s="8" t="str">
        <f>"000289"</f>
        <v>000289</v>
      </c>
      <c r="I26" s="7">
        <v>42448</v>
      </c>
      <c r="J26" s="8" t="str">
        <f>"000028"</f>
        <v>000028</v>
      </c>
      <c r="K26" s="7">
        <v>43083</v>
      </c>
      <c r="L26" s="8" t="str">
        <f>"000073"</f>
        <v>000073</v>
      </c>
      <c r="M26" s="7">
        <v>43096</v>
      </c>
      <c r="N26" s="8">
        <v>15</v>
      </c>
      <c r="O26" s="8" t="str">
        <f>"002783"</f>
        <v>002783</v>
      </c>
      <c r="P26" s="7">
        <v>43633</v>
      </c>
      <c r="Q26" s="10">
        <v>10.39025</v>
      </c>
      <c r="R26" s="10">
        <v>0.48069000000000001</v>
      </c>
      <c r="S26" s="10">
        <v>9.9095600000000008</v>
      </c>
      <c r="T26" s="8">
        <v>89</v>
      </c>
      <c r="U26" s="7">
        <v>43636</v>
      </c>
      <c r="V26" s="8">
        <v>9740896389</v>
      </c>
      <c r="W26" s="9" t="s">
        <v>84</v>
      </c>
      <c r="X26" s="8" t="s">
        <v>48</v>
      </c>
      <c r="Y26" s="9" t="s">
        <v>49</v>
      </c>
      <c r="Z26" s="8" t="s">
        <v>51</v>
      </c>
      <c r="AA26" s="9" t="s">
        <v>52</v>
      </c>
      <c r="AB26" s="10">
        <v>0.10390249999999999</v>
      </c>
    </row>
    <row r="27" spans="1:28" s="4" customFormat="1" ht="13" x14ac:dyDescent="0.3">
      <c r="A27" s="5">
        <v>442</v>
      </c>
      <c r="B27" s="6" t="s">
        <v>35</v>
      </c>
      <c r="C27" s="7">
        <v>43636</v>
      </c>
      <c r="D27" s="8">
        <v>11</v>
      </c>
      <c r="E27" s="9" t="s">
        <v>55</v>
      </c>
      <c r="F27" s="8" t="s">
        <v>93</v>
      </c>
      <c r="G27" s="9" t="s">
        <v>94</v>
      </c>
      <c r="H27" s="8" t="str">
        <f>"000292"</f>
        <v>000292</v>
      </c>
      <c r="I27" s="7">
        <v>42448</v>
      </c>
      <c r="J27" s="8" t="str">
        <f>"000029"</f>
        <v>000029</v>
      </c>
      <c r="K27" s="7">
        <v>43083</v>
      </c>
      <c r="L27" s="8" t="str">
        <f>"000074"</f>
        <v>000074</v>
      </c>
      <c r="M27" s="7">
        <v>43097</v>
      </c>
      <c r="N27" s="8">
        <v>15</v>
      </c>
      <c r="O27" s="8" t="str">
        <f>"002784"</f>
        <v>002784</v>
      </c>
      <c r="P27" s="7">
        <v>43633</v>
      </c>
      <c r="Q27" s="10">
        <v>15.58084</v>
      </c>
      <c r="R27" s="10">
        <v>0.71228999999999998</v>
      </c>
      <c r="S27" s="10">
        <v>14.868550000000001</v>
      </c>
      <c r="T27" s="8">
        <v>89</v>
      </c>
      <c r="U27" s="7">
        <v>43636</v>
      </c>
      <c r="V27" s="8">
        <v>9740896389</v>
      </c>
      <c r="W27" s="9" t="s">
        <v>95</v>
      </c>
      <c r="X27" s="8" t="s">
        <v>48</v>
      </c>
      <c r="Y27" s="9" t="s">
        <v>49</v>
      </c>
      <c r="Z27" s="8" t="s">
        <v>51</v>
      </c>
      <c r="AA27" s="9" t="s">
        <v>52</v>
      </c>
      <c r="AB27" s="10">
        <v>0.15580840000000001</v>
      </c>
    </row>
    <row r="28" spans="1:28" s="4" customFormat="1" ht="13" x14ac:dyDescent="0.3">
      <c r="A28" s="5">
        <v>443</v>
      </c>
      <c r="B28" s="6" t="s">
        <v>110</v>
      </c>
      <c r="C28" s="7">
        <v>43647</v>
      </c>
      <c r="D28" s="8">
        <v>11</v>
      </c>
      <c r="E28" s="9" t="s">
        <v>55</v>
      </c>
      <c r="F28" s="8" t="s">
        <v>111</v>
      </c>
      <c r="G28" s="11" t="s">
        <v>112</v>
      </c>
      <c r="H28" s="8" t="str">
        <f>"000064"</f>
        <v>000064</v>
      </c>
      <c r="I28" s="7">
        <v>42882</v>
      </c>
      <c r="J28" s="8" t="str">
        <f>"000037"</f>
        <v>000037</v>
      </c>
      <c r="K28" s="7">
        <v>43120</v>
      </c>
      <c r="L28" s="8" t="str">
        <f>"000088"</f>
        <v>000088</v>
      </c>
      <c r="M28" s="7">
        <v>43129</v>
      </c>
      <c r="N28" s="8">
        <v>17</v>
      </c>
      <c r="O28" s="8" t="str">
        <f>"003181"</f>
        <v>003181</v>
      </c>
      <c r="P28" s="7">
        <v>43643</v>
      </c>
      <c r="Q28" s="12">
        <v>26.782920000000001</v>
      </c>
      <c r="R28" s="12">
        <v>0.93884000000000001</v>
      </c>
      <c r="S28" s="12">
        <v>25.844080000000002</v>
      </c>
      <c r="T28" s="8">
        <v>96</v>
      </c>
      <c r="U28" s="7">
        <v>43647</v>
      </c>
      <c r="V28" s="8">
        <v>9448000937</v>
      </c>
      <c r="W28" s="11" t="s">
        <v>113</v>
      </c>
      <c r="X28" s="8" t="s">
        <v>114</v>
      </c>
      <c r="Y28" s="11" t="s">
        <v>115</v>
      </c>
      <c r="Z28" s="8" t="s">
        <v>51</v>
      </c>
      <c r="AA28" s="11" t="s">
        <v>52</v>
      </c>
      <c r="AB28" s="12">
        <f t="shared" ref="AB28:AB47" si="1">Q28/100</f>
        <v>0.26782919999999999</v>
      </c>
    </row>
    <row r="29" spans="1:28" s="4" customFormat="1" ht="13" x14ac:dyDescent="0.3">
      <c r="A29" s="5">
        <v>444</v>
      </c>
      <c r="B29" s="6" t="s">
        <v>110</v>
      </c>
      <c r="C29" s="7">
        <v>43648</v>
      </c>
      <c r="D29" s="8">
        <v>11</v>
      </c>
      <c r="E29" s="9" t="s">
        <v>55</v>
      </c>
      <c r="F29" s="8" t="s">
        <v>116</v>
      </c>
      <c r="G29" s="11" t="s">
        <v>117</v>
      </c>
      <c r="H29" s="8" t="str">
        <f>"000033"</f>
        <v>000033</v>
      </c>
      <c r="I29" s="7">
        <v>43182</v>
      </c>
      <c r="J29" s="8" t="str">
        <f>"000018"</f>
        <v>000018</v>
      </c>
      <c r="K29" s="7">
        <v>43224</v>
      </c>
      <c r="L29" s="8" t="str">
        <f>"000018"</f>
        <v>000018</v>
      </c>
      <c r="M29" s="7">
        <v>43224</v>
      </c>
      <c r="N29" s="8">
        <v>16</v>
      </c>
      <c r="O29" s="8" t="str">
        <f>"002927"</f>
        <v>002927</v>
      </c>
      <c r="P29" s="7">
        <v>43637</v>
      </c>
      <c r="Q29" s="12">
        <v>0.99450000000000005</v>
      </c>
      <c r="R29" s="12">
        <v>9.0520000000000003E-2</v>
      </c>
      <c r="S29" s="12">
        <v>0.90398000000000001</v>
      </c>
      <c r="T29" s="8">
        <v>103</v>
      </c>
      <c r="U29" s="7">
        <v>43648</v>
      </c>
      <c r="V29" s="8">
        <v>9341347194</v>
      </c>
      <c r="W29" s="11" t="s">
        <v>118</v>
      </c>
      <c r="X29" s="8" t="s">
        <v>119</v>
      </c>
      <c r="Y29" s="11" t="s">
        <v>120</v>
      </c>
      <c r="Z29" s="8" t="s">
        <v>31</v>
      </c>
      <c r="AA29" s="11" t="s">
        <v>32</v>
      </c>
      <c r="AB29" s="12">
        <f t="shared" si="1"/>
        <v>9.9450000000000007E-3</v>
      </c>
    </row>
    <row r="30" spans="1:28" s="4" customFormat="1" ht="13" x14ac:dyDescent="0.3">
      <c r="A30" s="5">
        <v>445</v>
      </c>
      <c r="B30" s="6" t="s">
        <v>110</v>
      </c>
      <c r="C30" s="7">
        <v>43648</v>
      </c>
      <c r="D30" s="8">
        <v>11</v>
      </c>
      <c r="E30" s="9" t="s">
        <v>55</v>
      </c>
      <c r="F30" s="8" t="s">
        <v>121</v>
      </c>
      <c r="G30" s="11" t="s">
        <v>122</v>
      </c>
      <c r="H30" s="8" t="str">
        <f>"000031"</f>
        <v>000031</v>
      </c>
      <c r="I30" s="7">
        <v>43181</v>
      </c>
      <c r="J30" s="8" t="str">
        <f>"000019"</f>
        <v>000019</v>
      </c>
      <c r="K30" s="7">
        <v>43225</v>
      </c>
      <c r="L30" s="8" t="str">
        <f>"000019"</f>
        <v>000019</v>
      </c>
      <c r="M30" s="7">
        <v>43225</v>
      </c>
      <c r="N30" s="8">
        <v>17</v>
      </c>
      <c r="O30" s="8" t="str">
        <f>"002929"</f>
        <v>002929</v>
      </c>
      <c r="P30" s="7">
        <v>43637</v>
      </c>
      <c r="Q30" s="12">
        <v>0.99495999999999996</v>
      </c>
      <c r="R30" s="12">
        <v>9.0550000000000005E-2</v>
      </c>
      <c r="S30" s="12">
        <v>0.90441000000000005</v>
      </c>
      <c r="T30" s="8">
        <v>103</v>
      </c>
      <c r="U30" s="7">
        <v>43648</v>
      </c>
      <c r="V30" s="8">
        <v>9945535033</v>
      </c>
      <c r="W30" s="11" t="s">
        <v>54</v>
      </c>
      <c r="X30" s="8" t="s">
        <v>123</v>
      </c>
      <c r="Y30" s="11" t="s">
        <v>124</v>
      </c>
      <c r="Z30" s="8" t="s">
        <v>31</v>
      </c>
      <c r="AA30" s="11" t="s">
        <v>32</v>
      </c>
      <c r="AB30" s="12">
        <f t="shared" si="1"/>
        <v>9.9495999999999994E-3</v>
      </c>
    </row>
    <row r="31" spans="1:28" s="4" customFormat="1" ht="13" x14ac:dyDescent="0.3">
      <c r="A31" s="5">
        <v>446</v>
      </c>
      <c r="B31" s="6" t="s">
        <v>110</v>
      </c>
      <c r="C31" s="7">
        <v>43658</v>
      </c>
      <c r="D31" s="8">
        <v>11</v>
      </c>
      <c r="E31" s="9" t="s">
        <v>55</v>
      </c>
      <c r="F31" s="8" t="s">
        <v>125</v>
      </c>
      <c r="G31" s="11" t="s">
        <v>126</v>
      </c>
      <c r="H31" s="8" t="str">
        <f>"000031"</f>
        <v>000031</v>
      </c>
      <c r="I31" s="7">
        <v>43297</v>
      </c>
      <c r="J31" s="8" t="str">
        <f>"000011"</f>
        <v>000011</v>
      </c>
      <c r="K31" s="7">
        <v>43616</v>
      </c>
      <c r="L31" s="8" t="str">
        <f>"000035"</f>
        <v>000035</v>
      </c>
      <c r="M31" s="7">
        <v>43627</v>
      </c>
      <c r="N31" s="8">
        <v>18</v>
      </c>
      <c r="O31" s="8" t="str">
        <f>"003315"</f>
        <v>003315</v>
      </c>
      <c r="P31" s="7">
        <v>43650</v>
      </c>
      <c r="Q31" s="12">
        <v>24.998570000000001</v>
      </c>
      <c r="R31" s="12">
        <v>2.9727600000000001</v>
      </c>
      <c r="S31" s="12">
        <v>22.02581</v>
      </c>
      <c r="T31" s="8">
        <v>112</v>
      </c>
      <c r="U31" s="7">
        <v>43658</v>
      </c>
      <c r="V31" s="8">
        <v>9449863065</v>
      </c>
      <c r="W31" s="11" t="s">
        <v>127</v>
      </c>
      <c r="X31" s="8" t="s">
        <v>45</v>
      </c>
      <c r="Y31" s="11" t="s">
        <v>44</v>
      </c>
      <c r="Z31" s="8" t="s">
        <v>51</v>
      </c>
      <c r="AA31" s="11" t="s">
        <v>52</v>
      </c>
      <c r="AB31" s="12">
        <f t="shared" si="1"/>
        <v>0.24998570000000001</v>
      </c>
    </row>
    <row r="32" spans="1:28" s="4" customFormat="1" ht="13" x14ac:dyDescent="0.3">
      <c r="A32" s="5">
        <v>447</v>
      </c>
      <c r="B32" s="6" t="s">
        <v>110</v>
      </c>
      <c r="C32" s="7">
        <v>43658</v>
      </c>
      <c r="D32" s="8">
        <v>11</v>
      </c>
      <c r="E32" s="9" t="s">
        <v>55</v>
      </c>
      <c r="F32" s="8" t="s">
        <v>128</v>
      </c>
      <c r="G32" s="11" t="s">
        <v>129</v>
      </c>
      <c r="H32" s="8" t="str">
        <f>"000183"</f>
        <v>000183</v>
      </c>
      <c r="I32" s="7">
        <v>43446</v>
      </c>
      <c r="J32" s="8" t="str">
        <f>"000013"</f>
        <v>000013</v>
      </c>
      <c r="K32" s="7">
        <v>43616</v>
      </c>
      <c r="L32" s="8" t="str">
        <f>"000036"</f>
        <v>000036</v>
      </c>
      <c r="M32" s="7">
        <v>43627</v>
      </c>
      <c r="N32" s="8">
        <v>18</v>
      </c>
      <c r="O32" s="8" t="str">
        <f>"003316"</f>
        <v>003316</v>
      </c>
      <c r="P32" s="7">
        <v>43650</v>
      </c>
      <c r="Q32" s="12">
        <v>29.98724</v>
      </c>
      <c r="R32" s="12">
        <v>3.5992299999999999</v>
      </c>
      <c r="S32" s="12">
        <v>26.388010000000001</v>
      </c>
      <c r="T32" s="8">
        <v>112</v>
      </c>
      <c r="U32" s="7">
        <v>43658</v>
      </c>
      <c r="V32" s="8">
        <v>9449863065</v>
      </c>
      <c r="W32" s="11" t="s">
        <v>130</v>
      </c>
      <c r="X32" s="8" t="s">
        <v>45</v>
      </c>
      <c r="Y32" s="11" t="s">
        <v>44</v>
      </c>
      <c r="Z32" s="8" t="s">
        <v>51</v>
      </c>
      <c r="AA32" s="11" t="s">
        <v>52</v>
      </c>
      <c r="AB32" s="12">
        <f t="shared" si="1"/>
        <v>0.29987239999999998</v>
      </c>
    </row>
    <row r="33" spans="1:28" s="4" customFormat="1" ht="13" x14ac:dyDescent="0.3">
      <c r="A33" s="5">
        <v>448</v>
      </c>
      <c r="B33" s="6" t="s">
        <v>110</v>
      </c>
      <c r="C33" s="7">
        <v>43658</v>
      </c>
      <c r="D33" s="8">
        <v>11</v>
      </c>
      <c r="E33" s="9" t="s">
        <v>55</v>
      </c>
      <c r="F33" s="8" t="s">
        <v>131</v>
      </c>
      <c r="G33" s="11" t="s">
        <v>132</v>
      </c>
      <c r="H33" s="8" t="str">
        <f>"000184"</f>
        <v>000184</v>
      </c>
      <c r="I33" s="7">
        <v>43446</v>
      </c>
      <c r="J33" s="8" t="str">
        <f>"000014"</f>
        <v>000014</v>
      </c>
      <c r="K33" s="7">
        <v>43616</v>
      </c>
      <c r="L33" s="8" t="str">
        <f>"000037"</f>
        <v>000037</v>
      </c>
      <c r="M33" s="7">
        <v>43627</v>
      </c>
      <c r="N33" s="8">
        <v>18</v>
      </c>
      <c r="O33" s="8" t="str">
        <f>"003317"</f>
        <v>003317</v>
      </c>
      <c r="P33" s="7">
        <v>43650</v>
      </c>
      <c r="Q33" s="12">
        <v>29.996200000000002</v>
      </c>
      <c r="R33" s="12">
        <v>3.6037599999999999</v>
      </c>
      <c r="S33" s="12">
        <v>26.392440000000001</v>
      </c>
      <c r="T33" s="8">
        <v>112</v>
      </c>
      <c r="U33" s="7">
        <v>43658</v>
      </c>
      <c r="V33" s="8">
        <v>9449863065</v>
      </c>
      <c r="W33" s="11" t="s">
        <v>133</v>
      </c>
      <c r="X33" s="8" t="s">
        <v>45</v>
      </c>
      <c r="Y33" s="11" t="s">
        <v>44</v>
      </c>
      <c r="Z33" s="8" t="s">
        <v>51</v>
      </c>
      <c r="AA33" s="11" t="s">
        <v>52</v>
      </c>
      <c r="AB33" s="12">
        <f t="shared" si="1"/>
        <v>0.29996200000000001</v>
      </c>
    </row>
    <row r="34" spans="1:28" s="4" customFormat="1" ht="13" x14ac:dyDescent="0.3">
      <c r="A34" s="5">
        <v>449</v>
      </c>
      <c r="B34" s="6" t="s">
        <v>110</v>
      </c>
      <c r="C34" s="7">
        <v>43663</v>
      </c>
      <c r="D34" s="8">
        <v>11</v>
      </c>
      <c r="E34" s="9" t="s">
        <v>55</v>
      </c>
      <c r="F34" s="8" t="s">
        <v>134</v>
      </c>
      <c r="G34" s="11" t="s">
        <v>135</v>
      </c>
      <c r="H34" s="8" t="str">
        <f>"000013"</f>
        <v>000013</v>
      </c>
      <c r="I34" s="7">
        <v>42830</v>
      </c>
      <c r="J34" s="8" t="str">
        <f>"000053"</f>
        <v>000053</v>
      </c>
      <c r="K34" s="7">
        <v>43178</v>
      </c>
      <c r="L34" s="8" t="str">
        <f>"000145"</f>
        <v>000145</v>
      </c>
      <c r="M34" s="7">
        <v>43183</v>
      </c>
      <c r="N34" s="8">
        <v>17</v>
      </c>
      <c r="O34" s="8" t="str">
        <f>"003410"</f>
        <v>003410</v>
      </c>
      <c r="P34" s="7">
        <v>43661</v>
      </c>
      <c r="Q34" s="12">
        <v>23.0639</v>
      </c>
      <c r="R34" s="12">
        <v>0.56947000000000003</v>
      </c>
      <c r="S34" s="12">
        <v>22.494430000000001</v>
      </c>
      <c r="T34" s="8">
        <v>113</v>
      </c>
      <c r="U34" s="7">
        <v>43663</v>
      </c>
      <c r="V34" s="8">
        <v>0</v>
      </c>
      <c r="W34" s="11" t="s">
        <v>136</v>
      </c>
      <c r="X34" s="8" t="s">
        <v>137</v>
      </c>
      <c r="Y34" s="11" t="s">
        <v>138</v>
      </c>
      <c r="Z34" s="8" t="s">
        <v>51</v>
      </c>
      <c r="AA34" s="11" t="s">
        <v>52</v>
      </c>
      <c r="AB34" s="12">
        <f t="shared" si="1"/>
        <v>0.23063900000000001</v>
      </c>
    </row>
    <row r="35" spans="1:28" s="4" customFormat="1" ht="13" x14ac:dyDescent="0.3">
      <c r="A35" s="5">
        <v>450</v>
      </c>
      <c r="B35" s="6" t="s">
        <v>110</v>
      </c>
      <c r="C35" s="7">
        <v>43663</v>
      </c>
      <c r="D35" s="8">
        <v>11</v>
      </c>
      <c r="E35" s="9" t="s">
        <v>55</v>
      </c>
      <c r="F35" s="8" t="s">
        <v>139</v>
      </c>
      <c r="G35" s="11" t="s">
        <v>140</v>
      </c>
      <c r="H35" s="8" t="str">
        <f>"000012"</f>
        <v>000012</v>
      </c>
      <c r="I35" s="7">
        <v>42830</v>
      </c>
      <c r="J35" s="8" t="str">
        <f>"000052"</f>
        <v>000052</v>
      </c>
      <c r="K35" s="7">
        <v>43178</v>
      </c>
      <c r="L35" s="8" t="str">
        <f>"000146"</f>
        <v>000146</v>
      </c>
      <c r="M35" s="7">
        <v>43183</v>
      </c>
      <c r="N35" s="8">
        <v>17</v>
      </c>
      <c r="O35" s="8" t="str">
        <f>"003411"</f>
        <v>003411</v>
      </c>
      <c r="P35" s="7">
        <v>43661</v>
      </c>
      <c r="Q35" s="12">
        <v>18.25</v>
      </c>
      <c r="R35" s="12">
        <v>0.44605</v>
      </c>
      <c r="S35" s="12">
        <v>17.80395</v>
      </c>
      <c r="T35" s="8">
        <v>113</v>
      </c>
      <c r="U35" s="7">
        <v>43663</v>
      </c>
      <c r="V35" s="8">
        <v>0</v>
      </c>
      <c r="W35" s="11" t="s">
        <v>136</v>
      </c>
      <c r="X35" s="8" t="s">
        <v>36</v>
      </c>
      <c r="Y35" s="11" t="s">
        <v>37</v>
      </c>
      <c r="Z35" s="8" t="s">
        <v>51</v>
      </c>
      <c r="AA35" s="11" t="s">
        <v>52</v>
      </c>
      <c r="AB35" s="12">
        <f t="shared" si="1"/>
        <v>0.1825</v>
      </c>
    </row>
    <row r="36" spans="1:28" s="4" customFormat="1" ht="13" x14ac:dyDescent="0.3">
      <c r="A36" s="5">
        <v>451</v>
      </c>
      <c r="B36" s="6" t="s">
        <v>110</v>
      </c>
      <c r="C36" s="7">
        <v>43663</v>
      </c>
      <c r="D36" s="8">
        <v>11</v>
      </c>
      <c r="E36" s="9" t="s">
        <v>55</v>
      </c>
      <c r="F36" s="8" t="s">
        <v>141</v>
      </c>
      <c r="G36" s="11" t="s">
        <v>142</v>
      </c>
      <c r="H36" s="8" t="str">
        <f>"000016"</f>
        <v>000016</v>
      </c>
      <c r="I36" s="7">
        <v>43158</v>
      </c>
      <c r="J36" s="8" t="str">
        <f>"000048"</f>
        <v>000048</v>
      </c>
      <c r="K36" s="7">
        <v>43186</v>
      </c>
      <c r="L36" s="8" t="str">
        <f>"000048"</f>
        <v>000048</v>
      </c>
      <c r="M36" s="7">
        <v>43186</v>
      </c>
      <c r="N36" s="8">
        <v>18</v>
      </c>
      <c r="O36" s="8" t="str">
        <f>"003421"</f>
        <v>003421</v>
      </c>
      <c r="P36" s="7">
        <v>43662</v>
      </c>
      <c r="Q36" s="12">
        <v>22.871500000000001</v>
      </c>
      <c r="R36" s="12">
        <v>2.4243800000000002</v>
      </c>
      <c r="S36" s="12">
        <v>20.447120000000002</v>
      </c>
      <c r="T36" s="8">
        <v>113</v>
      </c>
      <c r="U36" s="7">
        <v>43663</v>
      </c>
      <c r="V36" s="8">
        <v>9449863065</v>
      </c>
      <c r="W36" s="11" t="s">
        <v>143</v>
      </c>
      <c r="X36" s="8" t="s">
        <v>144</v>
      </c>
      <c r="Y36" s="11" t="s">
        <v>145</v>
      </c>
      <c r="Z36" s="8" t="s">
        <v>31</v>
      </c>
      <c r="AA36" s="11" t="s">
        <v>32</v>
      </c>
      <c r="AB36" s="12">
        <f t="shared" si="1"/>
        <v>0.228715</v>
      </c>
    </row>
    <row r="37" spans="1:28" s="4" customFormat="1" ht="13" x14ac:dyDescent="0.3">
      <c r="A37" s="5">
        <v>452</v>
      </c>
      <c r="B37" s="6" t="s">
        <v>110</v>
      </c>
      <c r="C37" s="7">
        <v>43677</v>
      </c>
      <c r="D37" s="8">
        <v>11</v>
      </c>
      <c r="E37" s="9" t="s">
        <v>55</v>
      </c>
      <c r="F37" s="8" t="s">
        <v>146</v>
      </c>
      <c r="G37" s="11" t="s">
        <v>147</v>
      </c>
      <c r="H37" s="8" t="str">
        <f>"000217"</f>
        <v>000217</v>
      </c>
      <c r="I37" s="7">
        <v>42803</v>
      </c>
      <c r="J37" s="8" t="str">
        <f>"000036"</f>
        <v>000036</v>
      </c>
      <c r="K37" s="7">
        <v>43111</v>
      </c>
      <c r="L37" s="8" t="str">
        <f>"000096"</f>
        <v>000096</v>
      </c>
      <c r="M37" s="7">
        <v>43133</v>
      </c>
      <c r="N37" s="8">
        <v>17</v>
      </c>
      <c r="O37" s="8" t="str">
        <f>"004031"</f>
        <v>004031</v>
      </c>
      <c r="P37" s="7">
        <v>43672</v>
      </c>
      <c r="Q37" s="12">
        <v>14.328060000000001</v>
      </c>
      <c r="R37" s="12">
        <v>0.47482000000000002</v>
      </c>
      <c r="S37" s="12">
        <v>13.85324</v>
      </c>
      <c r="T37" s="8">
        <v>135</v>
      </c>
      <c r="U37" s="7">
        <v>43677</v>
      </c>
      <c r="V37" s="8">
        <v>0</v>
      </c>
      <c r="W37" s="11" t="s">
        <v>148</v>
      </c>
      <c r="X37" s="8" t="s">
        <v>114</v>
      </c>
      <c r="Y37" s="11" t="s">
        <v>115</v>
      </c>
      <c r="Z37" s="8" t="s">
        <v>51</v>
      </c>
      <c r="AA37" s="11" t="s">
        <v>52</v>
      </c>
      <c r="AB37" s="12">
        <f t="shared" si="1"/>
        <v>0.14328060000000001</v>
      </c>
    </row>
    <row r="38" spans="1:28" s="4" customFormat="1" ht="13" x14ac:dyDescent="0.3">
      <c r="A38" s="5">
        <v>453</v>
      </c>
      <c r="B38" s="6" t="s">
        <v>149</v>
      </c>
      <c r="C38" s="7">
        <v>43684</v>
      </c>
      <c r="D38" s="8">
        <v>11</v>
      </c>
      <c r="E38" s="9" t="s">
        <v>55</v>
      </c>
      <c r="F38" s="8" t="s">
        <v>150</v>
      </c>
      <c r="G38" s="11" t="s">
        <v>151</v>
      </c>
      <c r="H38" s="8" t="str">
        <f>"000036"</f>
        <v>000036</v>
      </c>
      <c r="I38" s="7">
        <v>42845</v>
      </c>
      <c r="J38" s="8" t="str">
        <f>"000044"</f>
        <v>000044</v>
      </c>
      <c r="K38" s="7">
        <v>43151</v>
      </c>
      <c r="L38" s="8" t="str">
        <f>"000131"</f>
        <v>000131</v>
      </c>
      <c r="M38" s="7">
        <v>43167</v>
      </c>
      <c r="N38" s="8">
        <v>17</v>
      </c>
      <c r="O38" s="8" t="str">
        <f>"004209"</f>
        <v>004209</v>
      </c>
      <c r="P38" s="7">
        <v>43679</v>
      </c>
      <c r="Q38" s="12">
        <v>26.436450000000001</v>
      </c>
      <c r="R38" s="12">
        <v>0.96062000000000003</v>
      </c>
      <c r="S38" s="12">
        <v>25.475829999999998</v>
      </c>
      <c r="T38" s="8">
        <v>144</v>
      </c>
      <c r="U38" s="7">
        <v>43684</v>
      </c>
      <c r="V38" s="8">
        <v>0</v>
      </c>
      <c r="W38" s="11" t="s">
        <v>152</v>
      </c>
      <c r="X38" s="8" t="s">
        <v>114</v>
      </c>
      <c r="Y38" s="11" t="s">
        <v>115</v>
      </c>
      <c r="Z38" s="8" t="s">
        <v>51</v>
      </c>
      <c r="AA38" s="11" t="s">
        <v>52</v>
      </c>
      <c r="AB38" s="12">
        <f t="shared" si="1"/>
        <v>0.2643645</v>
      </c>
    </row>
    <row r="39" spans="1:28" s="4" customFormat="1" ht="13" x14ac:dyDescent="0.3">
      <c r="A39" s="5">
        <v>454</v>
      </c>
      <c r="B39" s="6" t="s">
        <v>149</v>
      </c>
      <c r="C39" s="7">
        <v>43696</v>
      </c>
      <c r="D39" s="8">
        <v>11</v>
      </c>
      <c r="E39" s="9" t="s">
        <v>55</v>
      </c>
      <c r="F39" s="8" t="s">
        <v>153</v>
      </c>
      <c r="G39" s="11" t="s">
        <v>154</v>
      </c>
      <c r="H39" s="8" t="str">
        <f>"000017"</f>
        <v>000017</v>
      </c>
      <c r="I39" s="7">
        <v>42875</v>
      </c>
      <c r="J39" s="8" t="str">
        <f>"000044"</f>
        <v>000044</v>
      </c>
      <c r="K39" s="7">
        <v>43174</v>
      </c>
      <c r="L39" s="8" t="str">
        <f>"000043"</f>
        <v>000043</v>
      </c>
      <c r="M39" s="7">
        <v>43174</v>
      </c>
      <c r="N39" s="8">
        <v>17</v>
      </c>
      <c r="O39" s="8" t="str">
        <f>"004473"</f>
        <v>004473</v>
      </c>
      <c r="P39" s="7">
        <v>43691</v>
      </c>
      <c r="Q39" s="12">
        <v>49.937460000000002</v>
      </c>
      <c r="R39" s="12">
        <v>6.8162399999999996</v>
      </c>
      <c r="S39" s="12">
        <v>43.121220000000001</v>
      </c>
      <c r="T39" s="8">
        <v>158</v>
      </c>
      <c r="U39" s="7">
        <v>43696</v>
      </c>
      <c r="V39" s="8">
        <v>0</v>
      </c>
      <c r="W39" s="11" t="s">
        <v>155</v>
      </c>
      <c r="X39" s="8" t="s">
        <v>156</v>
      </c>
      <c r="Y39" s="11" t="s">
        <v>157</v>
      </c>
      <c r="Z39" s="8" t="s">
        <v>31</v>
      </c>
      <c r="AA39" s="11" t="s">
        <v>32</v>
      </c>
      <c r="AB39" s="12">
        <f t="shared" si="1"/>
        <v>0.4993746</v>
      </c>
    </row>
    <row r="40" spans="1:28" s="4" customFormat="1" ht="13" x14ac:dyDescent="0.3">
      <c r="A40" s="5">
        <v>455</v>
      </c>
      <c r="B40" s="6" t="s">
        <v>149</v>
      </c>
      <c r="C40" s="7">
        <v>43703</v>
      </c>
      <c r="D40" s="8">
        <v>11</v>
      </c>
      <c r="E40" s="9" t="s">
        <v>55</v>
      </c>
      <c r="F40" s="8" t="s">
        <v>158</v>
      </c>
      <c r="G40" s="11" t="s">
        <v>159</v>
      </c>
      <c r="H40" s="8" t="str">
        <f>"000153"</f>
        <v>000153</v>
      </c>
      <c r="I40" s="7">
        <v>43679</v>
      </c>
      <c r="J40" s="8" t="str">
        <f>"000059"</f>
        <v>000059</v>
      </c>
      <c r="K40" s="7">
        <v>43679</v>
      </c>
      <c r="L40" s="8" t="str">
        <f>"000064"</f>
        <v>000064</v>
      </c>
      <c r="M40" s="7">
        <v>43680</v>
      </c>
      <c r="N40" s="8">
        <v>17</v>
      </c>
      <c r="O40" s="8" t="str">
        <f>"004673"</f>
        <v>004673</v>
      </c>
      <c r="P40" s="7">
        <v>43698</v>
      </c>
      <c r="Q40" s="12">
        <v>4.9958099999999996</v>
      </c>
      <c r="R40" s="12">
        <v>0.22742999999999999</v>
      </c>
      <c r="S40" s="12">
        <v>4.7683799999999996</v>
      </c>
      <c r="T40" s="8">
        <v>164</v>
      </c>
      <c r="U40" s="7">
        <v>43703</v>
      </c>
      <c r="V40" s="8">
        <v>9448070388</v>
      </c>
      <c r="W40" s="11" t="s">
        <v>160</v>
      </c>
      <c r="X40" s="8" t="s">
        <v>161</v>
      </c>
      <c r="Y40" s="11" t="s">
        <v>162</v>
      </c>
      <c r="Z40" s="8" t="s">
        <v>33</v>
      </c>
      <c r="AA40" s="11" t="s">
        <v>34</v>
      </c>
      <c r="AB40" s="12">
        <f t="shared" si="1"/>
        <v>4.9958099999999998E-2</v>
      </c>
    </row>
    <row r="41" spans="1:28" s="4" customFormat="1" ht="13" x14ac:dyDescent="0.3">
      <c r="A41" s="5">
        <v>456</v>
      </c>
      <c r="B41" s="6" t="s">
        <v>149</v>
      </c>
      <c r="C41" s="7">
        <v>43705</v>
      </c>
      <c r="D41" s="8">
        <v>11</v>
      </c>
      <c r="E41" s="9" t="s">
        <v>55</v>
      </c>
      <c r="F41" s="8" t="s">
        <v>163</v>
      </c>
      <c r="G41" s="11" t="s">
        <v>164</v>
      </c>
      <c r="H41" s="8" t="str">
        <f>"000048"</f>
        <v>000048</v>
      </c>
      <c r="I41" s="7">
        <v>43105</v>
      </c>
      <c r="J41" s="8" t="str">
        <f>"000028"</f>
        <v>000028</v>
      </c>
      <c r="K41" s="7">
        <v>43288</v>
      </c>
      <c r="L41" s="8" t="str">
        <f>"000064"</f>
        <v>000064</v>
      </c>
      <c r="M41" s="7">
        <v>43313</v>
      </c>
      <c r="N41" s="8">
        <v>18</v>
      </c>
      <c r="O41" s="8" t="str">
        <f>"004699"</f>
        <v>004699</v>
      </c>
      <c r="P41" s="7">
        <v>43698</v>
      </c>
      <c r="Q41" s="12">
        <v>9.98827</v>
      </c>
      <c r="R41" s="12">
        <v>0.80905000000000005</v>
      </c>
      <c r="S41" s="12">
        <v>9.1792200000000008</v>
      </c>
      <c r="T41" s="8">
        <v>171</v>
      </c>
      <c r="U41" s="7">
        <v>43705</v>
      </c>
      <c r="V41" s="8">
        <v>0</v>
      </c>
      <c r="W41" s="11" t="s">
        <v>165</v>
      </c>
      <c r="X41" s="8" t="s">
        <v>166</v>
      </c>
      <c r="Y41" s="11" t="s">
        <v>167</v>
      </c>
      <c r="Z41" s="8" t="s">
        <v>51</v>
      </c>
      <c r="AA41" s="11" t="s">
        <v>52</v>
      </c>
      <c r="AB41" s="12">
        <f t="shared" si="1"/>
        <v>9.9882700000000005E-2</v>
      </c>
    </row>
    <row r="42" spans="1:28" s="4" customFormat="1" ht="13" x14ac:dyDescent="0.3">
      <c r="A42" s="5">
        <v>457</v>
      </c>
      <c r="B42" s="6" t="s">
        <v>168</v>
      </c>
      <c r="C42" s="7">
        <v>43719</v>
      </c>
      <c r="D42" s="8">
        <v>11</v>
      </c>
      <c r="E42" s="9" t="s">
        <v>55</v>
      </c>
      <c r="F42" s="8" t="s">
        <v>169</v>
      </c>
      <c r="G42" s="11" t="s">
        <v>170</v>
      </c>
      <c r="H42" s="8" t="str">
        <f>"000030"</f>
        <v>000030</v>
      </c>
      <c r="I42" s="7">
        <v>43297</v>
      </c>
      <c r="J42" s="8" t="str">
        <f>"000012"</f>
        <v>000012</v>
      </c>
      <c r="K42" s="7">
        <v>43616</v>
      </c>
      <c r="L42" s="8" t="str">
        <f>"000034"</f>
        <v>000034</v>
      </c>
      <c r="M42" s="7">
        <v>43627</v>
      </c>
      <c r="N42" s="8">
        <v>18</v>
      </c>
      <c r="O42" s="8" t="str">
        <f>"004506"</f>
        <v>004506</v>
      </c>
      <c r="P42" s="7">
        <v>43693</v>
      </c>
      <c r="Q42" s="12">
        <v>24.98292</v>
      </c>
      <c r="R42" s="12">
        <v>2.9419200000000001</v>
      </c>
      <c r="S42" s="12">
        <v>22.041</v>
      </c>
      <c r="T42" s="8">
        <v>181</v>
      </c>
      <c r="U42" s="7">
        <v>43719</v>
      </c>
      <c r="V42" s="8">
        <v>9449863065</v>
      </c>
      <c r="W42" s="11" t="s">
        <v>127</v>
      </c>
      <c r="X42" s="8" t="s">
        <v>45</v>
      </c>
      <c r="Y42" s="11" t="s">
        <v>44</v>
      </c>
      <c r="Z42" s="8" t="s">
        <v>51</v>
      </c>
      <c r="AA42" s="11" t="s">
        <v>52</v>
      </c>
      <c r="AB42" s="12">
        <f t="shared" si="1"/>
        <v>0.2498292</v>
      </c>
    </row>
    <row r="43" spans="1:28" s="4" customFormat="1" ht="13" x14ac:dyDescent="0.3">
      <c r="A43" s="5">
        <v>458</v>
      </c>
      <c r="B43" s="6" t="s">
        <v>168</v>
      </c>
      <c r="C43" s="7">
        <v>43726</v>
      </c>
      <c r="D43" s="8">
        <v>11</v>
      </c>
      <c r="E43" s="9" t="s">
        <v>55</v>
      </c>
      <c r="F43" s="8" t="s">
        <v>171</v>
      </c>
      <c r="G43" s="11" t="s">
        <v>172</v>
      </c>
      <c r="H43" s="8" t="str">
        <f>"000057"</f>
        <v>000057</v>
      </c>
      <c r="I43" s="7">
        <v>43534</v>
      </c>
      <c r="J43" s="8" t="str">
        <f>"000065"</f>
        <v>000065</v>
      </c>
      <c r="K43" s="7">
        <v>43685</v>
      </c>
      <c r="L43" s="8" t="str">
        <f>"000068"</f>
        <v>000068</v>
      </c>
      <c r="M43" s="7">
        <v>43685</v>
      </c>
      <c r="N43" s="8">
        <v>19</v>
      </c>
      <c r="O43" s="8" t="str">
        <f>"005176"</f>
        <v>005176</v>
      </c>
      <c r="P43" s="7">
        <v>43726</v>
      </c>
      <c r="Q43" s="12">
        <v>36.134950000000003</v>
      </c>
      <c r="R43" s="12">
        <v>1.6198600000000001</v>
      </c>
      <c r="S43" s="12">
        <v>34.515090000000001</v>
      </c>
      <c r="T43" s="8">
        <v>192</v>
      </c>
      <c r="U43" s="7">
        <v>43726</v>
      </c>
      <c r="V43" s="8">
        <v>8123401100</v>
      </c>
      <c r="W43" s="11" t="s">
        <v>173</v>
      </c>
      <c r="X43" s="8" t="s">
        <v>174</v>
      </c>
      <c r="Y43" s="11" t="s">
        <v>175</v>
      </c>
      <c r="Z43" s="8" t="s">
        <v>33</v>
      </c>
      <c r="AA43" s="11" t="s">
        <v>34</v>
      </c>
      <c r="AB43" s="12">
        <f t="shared" si="1"/>
        <v>0.36134950000000005</v>
      </c>
    </row>
    <row r="44" spans="1:28" s="4" customFormat="1" ht="13" x14ac:dyDescent="0.3">
      <c r="A44" s="5">
        <v>459</v>
      </c>
      <c r="B44" s="6" t="s">
        <v>168</v>
      </c>
      <c r="C44" s="7">
        <v>43727</v>
      </c>
      <c r="D44" s="8">
        <v>11</v>
      </c>
      <c r="E44" s="9" t="s">
        <v>55</v>
      </c>
      <c r="F44" s="8" t="s">
        <v>79</v>
      </c>
      <c r="G44" s="11" t="s">
        <v>176</v>
      </c>
      <c r="H44" s="8" t="str">
        <f>"000036"</f>
        <v>000036</v>
      </c>
      <c r="I44" s="7">
        <v>43498</v>
      </c>
      <c r="J44" s="8" t="str">
        <f>"000173"</f>
        <v>000173</v>
      </c>
      <c r="K44" s="7">
        <v>43537</v>
      </c>
      <c r="L44" s="8" t="str">
        <f>"000173"</f>
        <v>000173</v>
      </c>
      <c r="M44" s="7">
        <v>43537</v>
      </c>
      <c r="N44" s="8">
        <v>19</v>
      </c>
      <c r="O44" s="8" t="str">
        <f>"002369"</f>
        <v>002369</v>
      </c>
      <c r="P44" s="7">
        <v>43619</v>
      </c>
      <c r="Q44" s="12">
        <v>169.29047</v>
      </c>
      <c r="R44" s="12">
        <v>7.7415599999999998</v>
      </c>
      <c r="S44" s="12">
        <v>161.54891000000001</v>
      </c>
      <c r="T44" s="8">
        <v>193</v>
      </c>
      <c r="U44" s="7">
        <v>43727</v>
      </c>
      <c r="V44" s="8">
        <v>9980437373</v>
      </c>
      <c r="W44" s="11" t="s">
        <v>177</v>
      </c>
      <c r="X44" s="8" t="s">
        <v>45</v>
      </c>
      <c r="Y44" s="11" t="s">
        <v>44</v>
      </c>
      <c r="Z44" s="8" t="s">
        <v>33</v>
      </c>
      <c r="AA44" s="11" t="s">
        <v>34</v>
      </c>
      <c r="AB44" s="12">
        <f t="shared" si="1"/>
        <v>1.6929046999999999</v>
      </c>
    </row>
    <row r="45" spans="1:28" s="4" customFormat="1" ht="13" x14ac:dyDescent="0.3">
      <c r="A45" s="5">
        <v>460</v>
      </c>
      <c r="B45" s="6" t="s">
        <v>168</v>
      </c>
      <c r="C45" s="7">
        <v>43731</v>
      </c>
      <c r="D45" s="8">
        <v>11</v>
      </c>
      <c r="E45" s="9" t="s">
        <v>55</v>
      </c>
      <c r="F45" s="8" t="s">
        <v>59</v>
      </c>
      <c r="G45" s="11" t="s">
        <v>60</v>
      </c>
      <c r="H45" s="8" t="str">
        <f>"000029"</f>
        <v>000029</v>
      </c>
      <c r="I45" s="7">
        <v>42737</v>
      </c>
      <c r="J45" s="8" t="str">
        <f>""</f>
        <v/>
      </c>
      <c r="K45" s="7">
        <v>43111</v>
      </c>
      <c r="L45" s="8" t="str">
        <f>""</f>
        <v/>
      </c>
      <c r="M45" s="8"/>
      <c r="N45" s="8">
        <v>16</v>
      </c>
      <c r="O45" s="8" t="str">
        <f>""</f>
        <v/>
      </c>
      <c r="P45" s="8"/>
      <c r="Q45" s="12">
        <v>5.5730700000000004</v>
      </c>
      <c r="R45" s="12">
        <v>0.67866000000000004</v>
      </c>
      <c r="S45" s="12">
        <v>4.8944099999999997</v>
      </c>
      <c r="T45" s="8">
        <v>198</v>
      </c>
      <c r="U45" s="7">
        <v>43731</v>
      </c>
      <c r="V45" s="8">
        <v>9945535033</v>
      </c>
      <c r="W45" s="11" t="s">
        <v>54</v>
      </c>
      <c r="X45" s="8" t="s">
        <v>29</v>
      </c>
      <c r="Y45" s="11" t="s">
        <v>30</v>
      </c>
      <c r="Z45" s="8" t="s">
        <v>31</v>
      </c>
      <c r="AA45" s="11" t="s">
        <v>32</v>
      </c>
      <c r="AB45" s="12">
        <f t="shared" si="1"/>
        <v>5.5730700000000001E-2</v>
      </c>
    </row>
    <row r="46" spans="1:28" s="4" customFormat="1" ht="13" x14ac:dyDescent="0.3">
      <c r="A46" s="5">
        <v>461</v>
      </c>
      <c r="B46" s="6" t="s">
        <v>168</v>
      </c>
      <c r="C46" s="7">
        <v>43732</v>
      </c>
      <c r="D46" s="8">
        <v>11</v>
      </c>
      <c r="E46" s="9" t="s">
        <v>55</v>
      </c>
      <c r="F46" s="8" t="s">
        <v>178</v>
      </c>
      <c r="G46" s="11" t="s">
        <v>179</v>
      </c>
      <c r="H46" s="8" t="str">
        <f>"000150"</f>
        <v>000150</v>
      </c>
      <c r="I46" s="7">
        <v>42683</v>
      </c>
      <c r="J46" s="8" t="str">
        <f>"000007"</f>
        <v>000007</v>
      </c>
      <c r="K46" s="7">
        <v>43203</v>
      </c>
      <c r="L46" s="8" t="str">
        <f>"000002"</f>
        <v>000002</v>
      </c>
      <c r="M46" s="7">
        <v>43210</v>
      </c>
      <c r="N46" s="8">
        <v>17</v>
      </c>
      <c r="O46" s="8" t="str">
        <f>"005341"</f>
        <v>005341</v>
      </c>
      <c r="P46" s="7">
        <v>43729</v>
      </c>
      <c r="Q46" s="12">
        <v>9.9859399999999994</v>
      </c>
      <c r="R46" s="12">
        <v>0.92071000000000003</v>
      </c>
      <c r="S46" s="12">
        <v>9.0652299999999997</v>
      </c>
      <c r="T46" s="8">
        <v>199</v>
      </c>
      <c r="U46" s="7">
        <v>43732</v>
      </c>
      <c r="V46" s="8">
        <v>0</v>
      </c>
      <c r="W46" s="11" t="s">
        <v>180</v>
      </c>
      <c r="X46" s="8" t="s">
        <v>181</v>
      </c>
      <c r="Y46" s="11" t="s">
        <v>182</v>
      </c>
      <c r="Z46" s="8" t="s">
        <v>51</v>
      </c>
      <c r="AA46" s="11" t="s">
        <v>52</v>
      </c>
      <c r="AB46" s="12">
        <f t="shared" si="1"/>
        <v>9.9859399999999987E-2</v>
      </c>
    </row>
    <row r="47" spans="1:28" s="4" customFormat="1" ht="13" x14ac:dyDescent="0.3">
      <c r="A47" s="5">
        <v>462</v>
      </c>
      <c r="B47" s="6" t="s">
        <v>168</v>
      </c>
      <c r="C47" s="7">
        <v>43732</v>
      </c>
      <c r="D47" s="8">
        <v>11</v>
      </c>
      <c r="E47" s="9" t="s">
        <v>55</v>
      </c>
      <c r="F47" s="8" t="s">
        <v>183</v>
      </c>
      <c r="G47" s="11" t="s">
        <v>184</v>
      </c>
      <c r="H47" s="8" t="str">
        <f>"000014"</f>
        <v>000014</v>
      </c>
      <c r="I47" s="7">
        <v>42832</v>
      </c>
      <c r="J47" s="8" t="str">
        <f>"000006"</f>
        <v>000006</v>
      </c>
      <c r="K47" s="7">
        <v>43203</v>
      </c>
      <c r="L47" s="8" t="str">
        <f>"000003"</f>
        <v>000003</v>
      </c>
      <c r="M47" s="7">
        <v>43210</v>
      </c>
      <c r="N47" s="8">
        <v>17</v>
      </c>
      <c r="O47" s="8" t="str">
        <f>"005342"</f>
        <v>005342</v>
      </c>
      <c r="P47" s="7">
        <v>43729</v>
      </c>
      <c r="Q47" s="12">
        <v>18.006720000000001</v>
      </c>
      <c r="R47" s="12">
        <v>0.57982999999999996</v>
      </c>
      <c r="S47" s="12">
        <v>17.42689</v>
      </c>
      <c r="T47" s="8">
        <v>199</v>
      </c>
      <c r="U47" s="7">
        <v>43732</v>
      </c>
      <c r="V47" s="8">
        <v>9448002933</v>
      </c>
      <c r="W47" s="11" t="s">
        <v>185</v>
      </c>
      <c r="X47" s="8" t="s">
        <v>36</v>
      </c>
      <c r="Y47" s="11" t="s">
        <v>37</v>
      </c>
      <c r="Z47" s="8" t="s">
        <v>51</v>
      </c>
      <c r="AA47" s="11" t="s">
        <v>52</v>
      </c>
      <c r="AB47" s="12">
        <f t="shared" si="1"/>
        <v>0.18006720000000001</v>
      </c>
    </row>
    <row r="48" spans="1:28" s="4" customFormat="1" ht="13" x14ac:dyDescent="0.3">
      <c r="A48" s="5">
        <v>463</v>
      </c>
      <c r="B48" s="6" t="s">
        <v>186</v>
      </c>
      <c r="C48" s="7">
        <v>43741</v>
      </c>
      <c r="D48" s="5">
        <v>11</v>
      </c>
      <c r="E48" s="9" t="s">
        <v>55</v>
      </c>
      <c r="F48" s="8" t="s">
        <v>96</v>
      </c>
      <c r="G48" s="9" t="s">
        <v>97</v>
      </c>
      <c r="H48" s="8" t="str">
        <f>"000014"</f>
        <v>000014</v>
      </c>
      <c r="I48" s="7">
        <v>42893</v>
      </c>
      <c r="J48" s="8" t="str">
        <f>"000178"</f>
        <v>000178</v>
      </c>
      <c r="K48" s="7">
        <v>43540</v>
      </c>
      <c r="L48" s="8" t="str">
        <f>"000178"</f>
        <v>000178</v>
      </c>
      <c r="M48" s="7">
        <v>43540</v>
      </c>
      <c r="N48" s="8">
        <v>17</v>
      </c>
      <c r="O48" s="8" t="str">
        <f>"001478"</f>
        <v>001478</v>
      </c>
      <c r="P48" s="7">
        <v>43598</v>
      </c>
      <c r="Q48" s="10">
        <v>81.149240000000006</v>
      </c>
      <c r="R48" s="10">
        <v>3.7019700000000002</v>
      </c>
      <c r="S48" s="10">
        <v>77.447270000000003</v>
      </c>
      <c r="T48" s="8">
        <v>13</v>
      </c>
      <c r="U48" s="7">
        <v>43741</v>
      </c>
      <c r="V48" s="8">
        <v>9845118582</v>
      </c>
      <c r="W48" s="9" t="s">
        <v>187</v>
      </c>
      <c r="X48" s="8" t="s">
        <v>46</v>
      </c>
      <c r="Y48" s="9" t="s">
        <v>47</v>
      </c>
      <c r="Z48" s="8" t="s">
        <v>33</v>
      </c>
      <c r="AA48" s="9" t="s">
        <v>34</v>
      </c>
      <c r="AB48" s="10">
        <v>0.81149240000000011</v>
      </c>
    </row>
    <row r="49" spans="1:28" s="4" customFormat="1" ht="13" x14ac:dyDescent="0.3">
      <c r="A49" s="5">
        <v>464</v>
      </c>
      <c r="B49" s="6" t="s">
        <v>186</v>
      </c>
      <c r="C49" s="7">
        <v>43748</v>
      </c>
      <c r="D49" s="5">
        <v>11</v>
      </c>
      <c r="E49" s="9" t="s">
        <v>55</v>
      </c>
      <c r="F49" s="8" t="s">
        <v>188</v>
      </c>
      <c r="G49" s="9" t="s">
        <v>189</v>
      </c>
      <c r="H49" s="8" t="str">
        <f>"000180"</f>
        <v>000180</v>
      </c>
      <c r="I49" s="7">
        <v>43664</v>
      </c>
      <c r="J49" s="8" t="str">
        <f>"000089"</f>
        <v>000089</v>
      </c>
      <c r="K49" s="7">
        <v>43727</v>
      </c>
      <c r="L49" s="8" t="str">
        <f>"000092"</f>
        <v>000092</v>
      </c>
      <c r="M49" s="7">
        <v>43727</v>
      </c>
      <c r="N49" s="8">
        <v>17</v>
      </c>
      <c r="O49" s="8" t="str">
        <f>"005687"</f>
        <v>005687</v>
      </c>
      <c r="P49" s="7">
        <v>43748</v>
      </c>
      <c r="Q49" s="10">
        <v>10.5</v>
      </c>
      <c r="R49" s="10">
        <v>0.43049999999999999</v>
      </c>
      <c r="S49" s="10">
        <v>10.0695</v>
      </c>
      <c r="T49" s="8">
        <v>13</v>
      </c>
      <c r="U49" s="7">
        <v>43748</v>
      </c>
      <c r="V49" s="8">
        <v>9880460728</v>
      </c>
      <c r="W49" s="9" t="s">
        <v>190</v>
      </c>
      <c r="X49" s="8" t="s">
        <v>161</v>
      </c>
      <c r="Y49" s="9" t="s">
        <v>162</v>
      </c>
      <c r="Z49" s="8" t="s">
        <v>33</v>
      </c>
      <c r="AA49" s="9" t="s">
        <v>34</v>
      </c>
      <c r="AB49" s="10">
        <v>0.105</v>
      </c>
    </row>
    <row r="50" spans="1:28" s="4" customFormat="1" ht="13" x14ac:dyDescent="0.3">
      <c r="A50" s="5">
        <v>465</v>
      </c>
      <c r="B50" s="6" t="s">
        <v>186</v>
      </c>
      <c r="C50" s="7">
        <v>43748</v>
      </c>
      <c r="D50" s="5">
        <v>11</v>
      </c>
      <c r="E50" s="9" t="s">
        <v>55</v>
      </c>
      <c r="F50" s="8" t="s">
        <v>191</v>
      </c>
      <c r="G50" s="9" t="s">
        <v>192</v>
      </c>
      <c r="H50" s="8" t="str">
        <f>"000139"</f>
        <v>000139</v>
      </c>
      <c r="I50" s="7">
        <v>43186</v>
      </c>
      <c r="J50" s="8" t="str">
        <f>"000019"</f>
        <v>000019</v>
      </c>
      <c r="K50" s="7">
        <v>43236</v>
      </c>
      <c r="L50" s="8" t="str">
        <f>"000025"</f>
        <v>000025</v>
      </c>
      <c r="M50" s="7">
        <v>43255</v>
      </c>
      <c r="N50" s="8">
        <v>18</v>
      </c>
      <c r="O50" s="8" t="str">
        <f>"005633"</f>
        <v>005633</v>
      </c>
      <c r="P50" s="7">
        <v>43741</v>
      </c>
      <c r="Q50" s="10">
        <v>24.92718</v>
      </c>
      <c r="R50" s="10">
        <v>2.0190999999999999</v>
      </c>
      <c r="S50" s="10">
        <v>22.908080000000002</v>
      </c>
      <c r="T50" s="8">
        <v>13</v>
      </c>
      <c r="U50" s="7">
        <v>43748</v>
      </c>
      <c r="V50" s="8">
        <v>9449863065</v>
      </c>
      <c r="W50" s="9" t="s">
        <v>193</v>
      </c>
      <c r="X50" s="8" t="s">
        <v>194</v>
      </c>
      <c r="Y50" s="9" t="s">
        <v>195</v>
      </c>
      <c r="Z50" s="8" t="s">
        <v>51</v>
      </c>
      <c r="AA50" s="9" t="s">
        <v>52</v>
      </c>
      <c r="AB50" s="10">
        <v>0.24927179999999999</v>
      </c>
    </row>
    <row r="51" spans="1:28" s="4" customFormat="1" ht="13" x14ac:dyDescent="0.3">
      <c r="A51" s="5">
        <v>466</v>
      </c>
      <c r="B51" s="6" t="s">
        <v>186</v>
      </c>
      <c r="C51" s="7">
        <v>43749</v>
      </c>
      <c r="D51" s="5">
        <v>11</v>
      </c>
      <c r="E51" s="9" t="s">
        <v>55</v>
      </c>
      <c r="F51" s="8" t="s">
        <v>196</v>
      </c>
      <c r="G51" s="9" t="s">
        <v>197</v>
      </c>
      <c r="H51" s="8" t="str">
        <f>"000071"</f>
        <v>000071</v>
      </c>
      <c r="I51" s="7">
        <v>43182</v>
      </c>
      <c r="J51" s="8" t="str">
        <f>"000062"</f>
        <v>000062</v>
      </c>
      <c r="K51" s="7">
        <v>43680</v>
      </c>
      <c r="L51" s="8" t="str">
        <f>"000063"</f>
        <v>000063</v>
      </c>
      <c r="M51" s="7">
        <v>43680</v>
      </c>
      <c r="N51" s="8">
        <v>17</v>
      </c>
      <c r="O51" s="8" t="str">
        <f>"005732"</f>
        <v>005732</v>
      </c>
      <c r="P51" s="7">
        <v>43749</v>
      </c>
      <c r="Q51" s="10">
        <v>36.623109999999997</v>
      </c>
      <c r="R51" s="10">
        <v>1.42306</v>
      </c>
      <c r="S51" s="10">
        <v>35.200049999999997</v>
      </c>
      <c r="T51" s="8">
        <v>13</v>
      </c>
      <c r="U51" s="7">
        <v>43749</v>
      </c>
      <c r="V51" s="8">
        <v>7760405418</v>
      </c>
      <c r="W51" s="9" t="s">
        <v>198</v>
      </c>
      <c r="X51" s="8" t="s">
        <v>199</v>
      </c>
      <c r="Y51" s="9" t="s">
        <v>200</v>
      </c>
      <c r="Z51" s="8" t="s">
        <v>33</v>
      </c>
      <c r="AA51" s="9" t="s">
        <v>34</v>
      </c>
      <c r="AB51" s="10">
        <v>0.36623109999999998</v>
      </c>
    </row>
    <row r="52" spans="1:28" s="4" customFormat="1" ht="13" x14ac:dyDescent="0.3">
      <c r="A52" s="5">
        <v>467</v>
      </c>
      <c r="B52" s="6" t="s">
        <v>186</v>
      </c>
      <c r="C52" s="7">
        <v>43752</v>
      </c>
      <c r="D52" s="5">
        <v>11</v>
      </c>
      <c r="E52" s="9" t="s">
        <v>55</v>
      </c>
      <c r="F52" s="8" t="s">
        <v>201</v>
      </c>
      <c r="G52" s="9" t="s">
        <v>202</v>
      </c>
      <c r="H52" s="8" t="str">
        <f>"000059"</f>
        <v>000059</v>
      </c>
      <c r="I52" s="7">
        <v>43534</v>
      </c>
      <c r="J52" s="8" t="str">
        <f>"000038"</f>
        <v>000038</v>
      </c>
      <c r="K52" s="7">
        <v>43717</v>
      </c>
      <c r="L52" s="8" t="str">
        <f>"000038"</f>
        <v>000038</v>
      </c>
      <c r="M52" s="7">
        <v>43717</v>
      </c>
      <c r="N52" s="8">
        <v>19</v>
      </c>
      <c r="O52" s="8" t="str">
        <f>"005752"</f>
        <v>005752</v>
      </c>
      <c r="P52" s="7">
        <v>43749</v>
      </c>
      <c r="Q52" s="10">
        <v>25.90776</v>
      </c>
      <c r="R52" s="10">
        <v>1.00671</v>
      </c>
      <c r="S52" s="10">
        <v>24.901050000000001</v>
      </c>
      <c r="T52" s="8">
        <v>13</v>
      </c>
      <c r="U52" s="7">
        <v>43752</v>
      </c>
      <c r="V52" s="8">
        <v>8123401100</v>
      </c>
      <c r="W52" s="9" t="s">
        <v>173</v>
      </c>
      <c r="X52" s="8" t="s">
        <v>203</v>
      </c>
      <c r="Y52" s="9" t="s">
        <v>204</v>
      </c>
      <c r="Z52" s="8" t="s">
        <v>31</v>
      </c>
      <c r="AA52" s="9" t="s">
        <v>32</v>
      </c>
      <c r="AB52" s="10">
        <v>0.25907760000000002</v>
      </c>
    </row>
    <row r="53" spans="1:28" s="4" customFormat="1" ht="13" x14ac:dyDescent="0.3">
      <c r="A53" s="5">
        <v>468</v>
      </c>
      <c r="B53" s="6" t="s">
        <v>186</v>
      </c>
      <c r="C53" s="7">
        <v>43760</v>
      </c>
      <c r="D53" s="5">
        <v>11</v>
      </c>
      <c r="E53" s="9" t="s">
        <v>55</v>
      </c>
      <c r="F53" s="8" t="s">
        <v>205</v>
      </c>
      <c r="G53" s="9" t="s">
        <v>206</v>
      </c>
      <c r="H53" s="8" t="str">
        <f>"000098"</f>
        <v>000098</v>
      </c>
      <c r="I53" s="7">
        <v>43343</v>
      </c>
      <c r="J53" s="8" t="str">
        <f>"000067"</f>
        <v>000067</v>
      </c>
      <c r="K53" s="7">
        <v>43393</v>
      </c>
      <c r="L53" s="8" t="str">
        <f>"000125"</f>
        <v>000125</v>
      </c>
      <c r="M53" s="7">
        <v>43395</v>
      </c>
      <c r="N53" s="8">
        <v>18</v>
      </c>
      <c r="O53" s="8" t="str">
        <f>"005874"</f>
        <v>005874</v>
      </c>
      <c r="P53" s="7">
        <v>43759</v>
      </c>
      <c r="Q53" s="10">
        <v>14.388540000000001</v>
      </c>
      <c r="R53" s="10">
        <v>0.73843999999999999</v>
      </c>
      <c r="S53" s="10">
        <v>13.6501</v>
      </c>
      <c r="T53" s="8">
        <v>13</v>
      </c>
      <c r="U53" s="7">
        <v>43760</v>
      </c>
      <c r="V53" s="8">
        <v>9900333496</v>
      </c>
      <c r="W53" s="9" t="s">
        <v>207</v>
      </c>
      <c r="X53" s="8" t="s">
        <v>36</v>
      </c>
      <c r="Y53" s="9" t="s">
        <v>37</v>
      </c>
      <c r="Z53" s="8" t="s">
        <v>51</v>
      </c>
      <c r="AA53" s="9" t="s">
        <v>52</v>
      </c>
      <c r="AB53" s="10">
        <v>0.1438854</v>
      </c>
    </row>
    <row r="54" spans="1:28" s="4" customFormat="1" ht="13" x14ac:dyDescent="0.3">
      <c r="A54" s="5">
        <v>469</v>
      </c>
      <c r="B54" s="6" t="s">
        <v>186</v>
      </c>
      <c r="C54" s="7">
        <v>43766</v>
      </c>
      <c r="D54" s="5">
        <v>11</v>
      </c>
      <c r="E54" s="9" t="s">
        <v>55</v>
      </c>
      <c r="F54" s="8" t="s">
        <v>208</v>
      </c>
      <c r="G54" s="9" t="s">
        <v>209</v>
      </c>
      <c r="H54" s="8" t="str">
        <f>"000058"</f>
        <v>000058</v>
      </c>
      <c r="I54" s="7">
        <v>43304</v>
      </c>
      <c r="J54" s="8" t="str">
        <f>"000047"</f>
        <v>000047</v>
      </c>
      <c r="K54" s="7">
        <v>43355</v>
      </c>
      <c r="L54" s="8" t="str">
        <f>"000094"</f>
        <v>000094</v>
      </c>
      <c r="M54" s="7">
        <v>43358</v>
      </c>
      <c r="N54" s="8">
        <v>18</v>
      </c>
      <c r="O54" s="8" t="str">
        <f>"005952"</f>
        <v>005952</v>
      </c>
      <c r="P54" s="7">
        <v>43763</v>
      </c>
      <c r="Q54" s="10">
        <v>24.668610000000001</v>
      </c>
      <c r="R54" s="10">
        <v>0.51805000000000001</v>
      </c>
      <c r="S54" s="10">
        <v>24.150559999999999</v>
      </c>
      <c r="T54" s="8">
        <v>13</v>
      </c>
      <c r="U54" s="7">
        <v>43766</v>
      </c>
      <c r="V54" s="8">
        <v>9448853642</v>
      </c>
      <c r="W54" s="9" t="s">
        <v>136</v>
      </c>
      <c r="X54" s="8" t="s">
        <v>36</v>
      </c>
      <c r="Y54" s="9" t="s">
        <v>37</v>
      </c>
      <c r="Z54" s="8" t="s">
        <v>51</v>
      </c>
      <c r="AA54" s="9" t="s">
        <v>52</v>
      </c>
      <c r="AB54" s="10">
        <v>0.24668610000000002</v>
      </c>
    </row>
    <row r="55" spans="1:28" s="4" customFormat="1" ht="13" x14ac:dyDescent="0.3">
      <c r="A55" s="5">
        <v>470</v>
      </c>
      <c r="B55" s="6" t="s">
        <v>210</v>
      </c>
      <c r="C55" s="7">
        <v>43781</v>
      </c>
      <c r="D55" s="5">
        <v>11</v>
      </c>
      <c r="E55" s="9" t="s">
        <v>55</v>
      </c>
      <c r="F55" s="8" t="s">
        <v>211</v>
      </c>
      <c r="G55" s="9" t="s">
        <v>212</v>
      </c>
      <c r="H55" s="8" t="str">
        <f>"000029"</f>
        <v>000029</v>
      </c>
      <c r="I55" s="7">
        <v>43181</v>
      </c>
      <c r="J55" s="8" t="str">
        <f>"000021"</f>
        <v>000021</v>
      </c>
      <c r="K55" s="7">
        <v>43225</v>
      </c>
      <c r="L55" s="8" t="str">
        <f>"000021"</f>
        <v>000021</v>
      </c>
      <c r="M55" s="7">
        <v>43225</v>
      </c>
      <c r="N55" s="8">
        <v>17</v>
      </c>
      <c r="O55" s="8" t="str">
        <f>"005924"</f>
        <v>005924</v>
      </c>
      <c r="P55" s="7">
        <v>43763</v>
      </c>
      <c r="Q55" s="10">
        <v>0.98855000000000004</v>
      </c>
      <c r="R55" s="10">
        <v>8.9980000000000004E-2</v>
      </c>
      <c r="S55" s="10">
        <v>0.89856999999999998</v>
      </c>
      <c r="T55" s="8">
        <v>13</v>
      </c>
      <c r="U55" s="7">
        <v>43781</v>
      </c>
      <c r="V55" s="8">
        <v>9945535033</v>
      </c>
      <c r="W55" s="9" t="s">
        <v>54</v>
      </c>
      <c r="X55" s="8" t="s">
        <v>213</v>
      </c>
      <c r="Y55" s="9" t="s">
        <v>214</v>
      </c>
      <c r="Z55" s="8" t="s">
        <v>31</v>
      </c>
      <c r="AA55" s="9" t="s">
        <v>32</v>
      </c>
      <c r="AB55" s="10">
        <v>9.8855000000000002E-3</v>
      </c>
    </row>
    <row r="56" spans="1:28" s="4" customFormat="1" ht="13" x14ac:dyDescent="0.3">
      <c r="A56" s="5">
        <v>471</v>
      </c>
      <c r="B56" s="6" t="s">
        <v>215</v>
      </c>
      <c r="C56" s="7">
        <v>43801</v>
      </c>
      <c r="D56" s="5">
        <v>11</v>
      </c>
      <c r="E56" s="9" t="s">
        <v>55</v>
      </c>
      <c r="F56" s="8" t="s">
        <v>216</v>
      </c>
      <c r="G56" s="9" t="s">
        <v>217</v>
      </c>
      <c r="H56" s="8" t="str">
        <f>"000060"</f>
        <v>000060</v>
      </c>
      <c r="I56" s="7">
        <v>43534</v>
      </c>
      <c r="J56" s="8" t="str">
        <f>"000100"</f>
        <v>000100</v>
      </c>
      <c r="K56" s="7">
        <v>43763</v>
      </c>
      <c r="L56" s="8" t="str">
        <f>"000103"</f>
        <v>000103</v>
      </c>
      <c r="M56" s="7">
        <v>43763</v>
      </c>
      <c r="N56" s="8">
        <v>19</v>
      </c>
      <c r="O56" s="8" t="str">
        <f>"006426"</f>
        <v>006426</v>
      </c>
      <c r="P56" s="7">
        <v>43795</v>
      </c>
      <c r="Q56" s="10">
        <v>38.636229999999998</v>
      </c>
      <c r="R56" s="10">
        <v>3.89602</v>
      </c>
      <c r="S56" s="10">
        <v>34.740209999999998</v>
      </c>
      <c r="T56" s="8">
        <v>13</v>
      </c>
      <c r="U56" s="7">
        <v>43801</v>
      </c>
      <c r="V56" s="8">
        <v>9880504095</v>
      </c>
      <c r="W56" s="9" t="s">
        <v>218</v>
      </c>
      <c r="X56" s="8" t="s">
        <v>219</v>
      </c>
      <c r="Y56" s="9" t="s">
        <v>220</v>
      </c>
      <c r="Z56" s="8" t="s">
        <v>33</v>
      </c>
      <c r="AA56" s="9" t="s">
        <v>34</v>
      </c>
      <c r="AB56" s="10">
        <v>0.38636229999999999</v>
      </c>
    </row>
    <row r="57" spans="1:28" s="4" customFormat="1" ht="13" x14ac:dyDescent="0.3">
      <c r="A57" s="5">
        <v>472</v>
      </c>
      <c r="B57" s="6" t="s">
        <v>215</v>
      </c>
      <c r="C57" s="7">
        <v>43805</v>
      </c>
      <c r="D57" s="5">
        <v>11</v>
      </c>
      <c r="E57" s="9" t="s">
        <v>55</v>
      </c>
      <c r="F57" s="8" t="s">
        <v>221</v>
      </c>
      <c r="G57" s="9" t="s">
        <v>222</v>
      </c>
      <c r="H57" s="8" t="str">
        <f>"000185"</f>
        <v>000185</v>
      </c>
      <c r="I57" s="7">
        <v>43446</v>
      </c>
      <c r="J57" s="8" t="str">
        <f>"000027"</f>
        <v>000027</v>
      </c>
      <c r="K57" s="7">
        <v>43682</v>
      </c>
      <c r="L57" s="8" t="str">
        <f>"000085"</f>
        <v>000085</v>
      </c>
      <c r="M57" s="7">
        <v>43708</v>
      </c>
      <c r="N57" s="8">
        <v>18</v>
      </c>
      <c r="O57" s="8" t="str">
        <f>"006632"</f>
        <v>006632</v>
      </c>
      <c r="P57" s="7">
        <v>43803</v>
      </c>
      <c r="Q57" s="10">
        <v>29.992000000000001</v>
      </c>
      <c r="R57" s="10">
        <v>3.5954799999999998</v>
      </c>
      <c r="S57" s="10">
        <v>26.396519999999999</v>
      </c>
      <c r="T57" s="8">
        <v>13</v>
      </c>
      <c r="U57" s="7">
        <v>43805</v>
      </c>
      <c r="V57" s="8">
        <v>9449863065</v>
      </c>
      <c r="W57" s="9" t="s">
        <v>133</v>
      </c>
      <c r="X57" s="8" t="s">
        <v>45</v>
      </c>
      <c r="Y57" s="9" t="s">
        <v>44</v>
      </c>
      <c r="Z57" s="8" t="s">
        <v>51</v>
      </c>
      <c r="AA57" s="9" t="s">
        <v>52</v>
      </c>
      <c r="AB57" s="10">
        <v>0.29992000000000002</v>
      </c>
    </row>
    <row r="58" spans="1:28" s="4" customFormat="1" ht="13" x14ac:dyDescent="0.3">
      <c r="A58" s="5">
        <v>473</v>
      </c>
      <c r="B58" s="6" t="s">
        <v>215</v>
      </c>
      <c r="C58" s="7">
        <v>43805</v>
      </c>
      <c r="D58" s="5">
        <v>11</v>
      </c>
      <c r="E58" s="9" t="s">
        <v>55</v>
      </c>
      <c r="F58" s="8" t="s">
        <v>223</v>
      </c>
      <c r="G58" s="9" t="s">
        <v>224</v>
      </c>
      <c r="H58" s="8" t="str">
        <f>"000028"</f>
        <v>000028</v>
      </c>
      <c r="I58" s="7">
        <v>43297</v>
      </c>
      <c r="J58" s="8" t="str">
        <f>"000029"</f>
        <v>000029</v>
      </c>
      <c r="K58" s="7">
        <v>43682</v>
      </c>
      <c r="L58" s="8" t="str">
        <f>"000087"</f>
        <v>000087</v>
      </c>
      <c r="M58" s="7">
        <v>43708</v>
      </c>
      <c r="N58" s="8">
        <v>18</v>
      </c>
      <c r="O58" s="8" t="str">
        <f>"006633"</f>
        <v>006633</v>
      </c>
      <c r="P58" s="7">
        <v>43803</v>
      </c>
      <c r="Q58" s="10">
        <v>24.997</v>
      </c>
      <c r="R58" s="10">
        <v>3.1110799999999998</v>
      </c>
      <c r="S58" s="10">
        <v>21.885919999999999</v>
      </c>
      <c r="T58" s="8">
        <v>13</v>
      </c>
      <c r="U58" s="7">
        <v>43805</v>
      </c>
      <c r="V58" s="8">
        <v>9449863065</v>
      </c>
      <c r="W58" s="9" t="s">
        <v>127</v>
      </c>
      <c r="X58" s="8" t="s">
        <v>45</v>
      </c>
      <c r="Y58" s="9" t="s">
        <v>44</v>
      </c>
      <c r="Z58" s="8" t="s">
        <v>51</v>
      </c>
      <c r="AA58" s="9" t="s">
        <v>52</v>
      </c>
      <c r="AB58" s="10">
        <v>0.24997</v>
      </c>
    </row>
    <row r="59" spans="1:28" s="4" customFormat="1" ht="13" x14ac:dyDescent="0.3">
      <c r="A59" s="5">
        <v>474</v>
      </c>
      <c r="B59" s="6" t="s">
        <v>215</v>
      </c>
      <c r="C59" s="7">
        <v>43805</v>
      </c>
      <c r="D59" s="5">
        <v>11</v>
      </c>
      <c r="E59" s="9" t="s">
        <v>55</v>
      </c>
      <c r="F59" s="8" t="s">
        <v>225</v>
      </c>
      <c r="G59" s="9" t="s">
        <v>226</v>
      </c>
      <c r="H59" s="8" t="str">
        <f>"000029"</f>
        <v>000029</v>
      </c>
      <c r="I59" s="7">
        <v>43297</v>
      </c>
      <c r="J59" s="8" t="str">
        <f>"000026"</f>
        <v>000026</v>
      </c>
      <c r="K59" s="7">
        <v>43682</v>
      </c>
      <c r="L59" s="8" t="str">
        <f>"000084"</f>
        <v>000084</v>
      </c>
      <c r="M59" s="7">
        <v>43708</v>
      </c>
      <c r="N59" s="8">
        <v>18</v>
      </c>
      <c r="O59" s="8" t="str">
        <f>"006634"</f>
        <v>006634</v>
      </c>
      <c r="P59" s="7">
        <v>43803</v>
      </c>
      <c r="Q59" s="10">
        <v>24.986000000000001</v>
      </c>
      <c r="R59" s="10">
        <v>3.11958</v>
      </c>
      <c r="S59" s="10">
        <v>21.866420000000002</v>
      </c>
      <c r="T59" s="8">
        <v>13</v>
      </c>
      <c r="U59" s="7">
        <v>43805</v>
      </c>
      <c r="V59" s="8">
        <v>9449863065</v>
      </c>
      <c r="W59" s="9" t="s">
        <v>127</v>
      </c>
      <c r="X59" s="8" t="s">
        <v>45</v>
      </c>
      <c r="Y59" s="9" t="s">
        <v>44</v>
      </c>
      <c r="Z59" s="8" t="s">
        <v>51</v>
      </c>
      <c r="AA59" s="9" t="s">
        <v>52</v>
      </c>
      <c r="AB59" s="10">
        <v>0.24986</v>
      </c>
    </row>
    <row r="60" spans="1:28" s="4" customFormat="1" ht="13" x14ac:dyDescent="0.3">
      <c r="A60" s="5">
        <v>475</v>
      </c>
      <c r="B60" s="6" t="s">
        <v>215</v>
      </c>
      <c r="C60" s="7">
        <v>43818</v>
      </c>
      <c r="D60" s="5">
        <v>11</v>
      </c>
      <c r="E60" s="9" t="s">
        <v>55</v>
      </c>
      <c r="F60" s="8" t="s">
        <v>227</v>
      </c>
      <c r="G60" s="9" t="s">
        <v>228</v>
      </c>
      <c r="H60" s="8" t="str">
        <f>"000240"</f>
        <v>000240</v>
      </c>
      <c r="I60" s="7">
        <v>43523</v>
      </c>
      <c r="J60" s="8" t="str">
        <f>"000038"</f>
        <v>000038</v>
      </c>
      <c r="K60" s="7">
        <v>43747</v>
      </c>
      <c r="L60" s="8" t="str">
        <f>"000125"</f>
        <v>000125</v>
      </c>
      <c r="M60" s="7">
        <v>43747</v>
      </c>
      <c r="N60" s="8">
        <v>19</v>
      </c>
      <c r="O60" s="8" t="str">
        <f>"006628"</f>
        <v>006628</v>
      </c>
      <c r="P60" s="7">
        <v>43803</v>
      </c>
      <c r="Q60" s="10">
        <v>0.29699999999999999</v>
      </c>
      <c r="R60" s="10">
        <v>2.9700000000000001E-2</v>
      </c>
      <c r="S60" s="10">
        <v>0.26729999999999998</v>
      </c>
      <c r="T60" s="8">
        <v>13</v>
      </c>
      <c r="U60" s="7">
        <v>43818</v>
      </c>
      <c r="V60" s="8">
        <v>9886913195</v>
      </c>
      <c r="W60" s="9" t="s">
        <v>229</v>
      </c>
      <c r="X60" s="8" t="s">
        <v>230</v>
      </c>
      <c r="Y60" s="9" t="s">
        <v>231</v>
      </c>
      <c r="Z60" s="8" t="s">
        <v>51</v>
      </c>
      <c r="AA60" s="9" t="s">
        <v>52</v>
      </c>
      <c r="AB60" s="10">
        <v>2.97E-3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2020-01-28T11:16:26Z</dcterms:modified>
</cp:coreProperties>
</file>