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" l="1"/>
  <c r="L35" i="1"/>
  <c r="J35" i="1"/>
  <c r="H35" i="1"/>
  <c r="O34" i="1"/>
  <c r="L34" i="1"/>
  <c r="J34" i="1"/>
  <c r="H34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<sst xmlns="http://schemas.openxmlformats.org/spreadsheetml/2006/main" count="334" uniqueCount="146">
  <si>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</si>
  <si>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</si>
  <si>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</si>
  <si>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</si>
  <si>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</si>
  <si>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</si>
  <si>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</si>
  <si>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</si>
  <si>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</si>
  <si>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</si>
  <si>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</si>
  <si>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</si>
  <si>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</si>
  <si>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</si>
  <si>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</si>
  <si>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</si>
  <si>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</si>
  <si>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</si>
  <si>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</si>
  <si>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</si>
  <si>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</si>
  <si>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</si>
  <si>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</si>
  <si>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</si>
  <si>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</si>
  <si>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</si>
  <si>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</si>
  <si>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</si>
  <si>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</si>
  <si>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</si>
  <si>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</si>
  <si>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</si>
  <si>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</si>
  <si>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P3296</t>
  </si>
  <si>
    <t>14th Finance Commission Works - Road and Footpath Maintenance</t>
  </si>
  <si>
    <t>ddo089</t>
  </si>
  <si>
    <t xml:space="preserve"> Assistant Executive Engineer Electrical East Zone</t>
  </si>
  <si>
    <t>M and R to Street Lights - Replacement of Burnt Bulbs etc. (Package)</t>
  </si>
  <si>
    <t>P0300</t>
  </si>
  <si>
    <t>P3111</t>
  </si>
  <si>
    <t>State Finance Commission Untied Grant Works</t>
  </si>
  <si>
    <t>P3158</t>
  </si>
  <si>
    <t>SIP Infrastructure Project works</t>
  </si>
  <si>
    <t>P3291</t>
  </si>
  <si>
    <t>14th Fin  -Maintenance of Cremotorium, Burial Grounds</t>
  </si>
  <si>
    <t>P0190</t>
  </si>
  <si>
    <t>Works sanctioned by Hon Mayor</t>
  </si>
  <si>
    <t>P1878</t>
  </si>
  <si>
    <t>18per - Works (Bhagyajyothi, Sooru / Neeru Yojane and General) (54 Lakhs / New Wards)</t>
  </si>
  <si>
    <t>KRIDL</t>
  </si>
  <si>
    <t xml:space="preserve">M/s KRIDL </t>
  </si>
  <si>
    <t>P3106</t>
  </si>
  <si>
    <t>Nagarothana Works</t>
  </si>
  <si>
    <t>Dommaluru</t>
  </si>
  <si>
    <t>112-16-000001</t>
  </si>
  <si>
    <t>Operation and Maintenance of street lights at Domlur area ward nos 112 Package E28 for one year.</t>
  </si>
  <si>
    <t>M/s.Rainbow Electricals</t>
  </si>
  <si>
    <t>112-16-000056</t>
  </si>
  <si>
    <t>Construction of watchman shed and other development works in Shankarnag memorial park in ward no 112</t>
  </si>
  <si>
    <t>Technical Manager-II, KRIDL</t>
  </si>
  <si>
    <t>ddo075</t>
  </si>
  <si>
    <t xml:space="preserve"> Executive Engineer Project East Zone</t>
  </si>
  <si>
    <t>112-16-000064</t>
  </si>
  <si>
    <t>Repairs to watch man shed and other development works in 13th main park in ward no 112 Domlur</t>
  </si>
  <si>
    <t>112-18-000108</t>
  </si>
  <si>
    <t xml:space="preserve">Development of Kanakadasa Park in Ward No 112 </t>
  </si>
  <si>
    <t>112-18-000037</t>
  </si>
  <si>
    <t>Roads and Footpath maintenance in ward No. 112 Domlur</t>
  </si>
  <si>
    <t>ddo086</t>
  </si>
  <si>
    <t xml:space="preserve"> Assistant Executive Engineer Dommalur East Zone</t>
  </si>
  <si>
    <t>112-18-000106</t>
  </si>
  <si>
    <t>PROVIDING RO PLANT TO HUTTING COLONY IN WARD NO 112</t>
  </si>
  <si>
    <t>M/s KRIDL</t>
  </si>
  <si>
    <t>112-18-000107</t>
  </si>
  <si>
    <t>PROVIDING RO PLANT TO ANDRA COLONY IN WARD NO 112</t>
  </si>
  <si>
    <t>112-17-000053</t>
  </si>
  <si>
    <t>Providing Consultancy Services for Preparation of Detailed Project Report including PMC for Development of Playground in East zone under Nagarothana Grants 2016-17</t>
  </si>
  <si>
    <t>M/s Nandish Associate ,</t>
  </si>
  <si>
    <t>112-18-000032</t>
  </si>
  <si>
    <t>Maintenance of Cremotorium, Burrial Ground and office maintenance in ward No. 112 Domlur</t>
  </si>
  <si>
    <t>112-17-000004</t>
  </si>
  <si>
    <t>Construction of Unity Building Gallery and Bayalu Rangamantapa in ward no 112 Domlur</t>
  </si>
  <si>
    <t>K DODDAHANUMANTHAPPA</t>
  </si>
  <si>
    <t>112-17-000017</t>
  </si>
  <si>
    <t>PROVIDING AND FIXING OF STREET NAME BOARDS AT AMARJYOTHI LAYAOUT EAST AND WEST SHARADAMMA LAYOUT AND DOOPANAHALLI VILLAGE IN WARD NO 112</t>
  </si>
  <si>
    <t>Prestige Enterprises Prop: M Taiyub Ahmed</t>
  </si>
  <si>
    <t>112-17-000016</t>
  </si>
  <si>
    <t>REMOVING THE DEBRIES BEHIND AND SURROUNDINGS AREA OF DWCC IN WARD NO 112 DOMLUR</t>
  </si>
  <si>
    <t>G S Umashankar</t>
  </si>
  <si>
    <t>112-16-000013</t>
  </si>
  <si>
    <t>POT HOLE FILLING IN WARD NO 112</t>
  </si>
  <si>
    <t>M Lakshmanreddy</t>
  </si>
  <si>
    <t>112-18-000085</t>
  </si>
  <si>
    <t xml:space="preserve">Removal of Debries at Cow Shelter near Fly over and other areas  in ward No 112,Domlur </t>
  </si>
  <si>
    <t>G S UMASHANKAR</t>
  </si>
  <si>
    <t>September</t>
  </si>
  <si>
    <t>August</t>
  </si>
  <si>
    <t>July</t>
  </si>
  <si>
    <t>14th Finance Commission Grant Works</t>
  </si>
  <si>
    <t>P3110</t>
  </si>
  <si>
    <t>M S Engineering Constructions</t>
  </si>
  <si>
    <t>Providing CC Camera at Garbage Block Spots in ward no 112</t>
  </si>
  <si>
    <t>112-17-000043</t>
  </si>
  <si>
    <t>RE CONSTRUCTION OF BRIDGE AT ISRO SLUM IN WARD NO 112 DOMLUR</t>
  </si>
  <si>
    <t>112-18-000104</t>
  </si>
  <si>
    <t>R LOKESH</t>
  </si>
  <si>
    <t>Package-III Comprehensive of development of roads and drains in ward no 112in Shanthinagara Constituency (11 Works)</t>
  </si>
  <si>
    <t>112-17-000035</t>
  </si>
  <si>
    <t>YESHODHARA</t>
  </si>
  <si>
    <t>CONSTRUCTION OF CULVERT AT 8TH CROSS DRAIN AT 13TH E AND F MAIN WITH COVERING SLAB AT DOOPANAHALLI VILLAGE IN WARD NO 112 DOMLUR</t>
  </si>
  <si>
    <t>112-17-000009</t>
  </si>
  <si>
    <t>CONSTRUCTION OF DRAIN WITH COVERING SLAB AT 2ND A MAIN DOMLUR LAYOUT IN WARD NO 112 DOMLUR</t>
  </si>
  <si>
    <t>112-17-000011</t>
  </si>
  <si>
    <t xml:space="preserve">MS Raju </t>
  </si>
  <si>
    <t>ROAD CONCRETING WORKS IN DOOPANAHALLI AND SURROUNDING AREAS IN WARD NO. 112-DOMLUR</t>
  </si>
  <si>
    <t>112-15-000004</t>
  </si>
  <si>
    <t>M S RAJU</t>
  </si>
  <si>
    <t>ROAD CONCRETING WORKS IN DOMLUR VILLAGE CROSS ROADS AND SURROUNDING AREA IN WARD NO. 112-DOMLUR</t>
  </si>
  <si>
    <t>112-15-000010</t>
  </si>
  <si>
    <t>G H RAJU</t>
  </si>
  <si>
    <t>ASPHALTING 3RD MAIN ROAD IN DOMLUR LAYOUT IN WARD NO 112 DOMLUR</t>
  </si>
  <si>
    <t>112-16-000011</t>
  </si>
  <si>
    <t>14th Finance Commission Works - Drinking Water</t>
  </si>
  <si>
    <t>P3293</t>
  </si>
  <si>
    <t>Providing drinking water works in ward No. 112 Domlur</t>
  </si>
  <si>
    <t>112-18-000034</t>
  </si>
  <si>
    <t>14th Finance Commission Works - SWM Works</t>
  </si>
  <si>
    <t>P3298</t>
  </si>
  <si>
    <t>Soild waste management work in ward No. 112 Domlur</t>
  </si>
  <si>
    <t>112-18-000039</t>
  </si>
  <si>
    <t>M SRINIVASA</t>
  </si>
  <si>
    <t>Engagement of Gangman and Hiring of Troctor Tippers for cleaning and maintenance of road side drains and other civil works in ward 112</t>
  </si>
  <si>
    <t>112-17-000042</t>
  </si>
  <si>
    <t>14th Finance Commission Works - Community Property Maintenance (including Parks)</t>
  </si>
  <si>
    <t>P3292</t>
  </si>
  <si>
    <t xml:space="preserve">KRIDL </t>
  </si>
  <si>
    <t>Community property Maintenance (including parks) in ward No. 112 Domlur</t>
  </si>
  <si>
    <t>112-18-000033</t>
  </si>
  <si>
    <t>14th Finance Commission Works - General Public ToiletandSeptage Maintenance</t>
  </si>
  <si>
    <t>P3294</t>
  </si>
  <si>
    <t>Genral Public Toilet and Septage maintenance in ward No. 112 Domlur</t>
  </si>
  <si>
    <t>112-18-000035</t>
  </si>
  <si>
    <t>November</t>
  </si>
  <si>
    <t>112-16-000053</t>
  </si>
  <si>
    <t>ASPHALTING TO ROADS IN DOMLUR 2ND STAGE FROM 1ST A CROSS TO 2ND CROSS INCLUDING MAIN ROADS IN WARD NO 112</t>
  </si>
  <si>
    <t xml:space="preserve">Amruth Construction Pvt ltd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</si>
</sst>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workbookViewId="0">
      <selection activeCell="F7" sqref="F7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2.0898437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3736</v>
      </c>
      <c r="B2" s="5" t="s">
        <v>28</v>
      </c>
      <c r="C2" s="6">
        <v>43575</v>
      </c>
      <c r="D2" s="7">
        <v>112</v>
      </c>
      <c r="E2" s="8" t="s">
        <v>53</v>
      </c>
      <c r="F2" s="7" t="s">
        <v>54</v>
      </c>
      <c r="G2" s="8" t="s">
        <v>55</v>
      </c>
      <c r="H2" s="7" t="str">
        <f>"000004"</f>
        <v>000004</v>
      </c>
      <c r="I2" s="6">
        <v>42947</v>
      </c>
      <c r="J2" s="7" t="str">
        <f>"000221"</f>
        <v>000221</v>
      </c>
      <c r="K2" s="6">
        <v>43515</v>
      </c>
      <c r="L2" s="7" t="str">
        <f>"000220"</f>
        <v>000220</v>
      </c>
      <c r="M2" s="6">
        <v>43515</v>
      </c>
      <c r="N2" s="7">
        <v>16</v>
      </c>
      <c r="O2" s="7" t="str">
        <f>"001370"</f>
        <v>001370</v>
      </c>
      <c r="P2" s="6">
        <v>43593</v>
      </c>
      <c r="Q2" s="9">
        <v>2.3286899999999999</v>
      </c>
      <c r="R2" s="9">
        <v>0.18806999999999999</v>
      </c>
      <c r="S2" s="9">
        <v>2.1406200000000002</v>
      </c>
      <c r="T2" s="7">
        <v>20</v>
      </c>
      <c r="U2" s="6">
        <v>43575</v>
      </c>
      <c r="V2" s="7">
        <v>9845036857</v>
      </c>
      <c r="W2" s="8" t="s">
        <v>56</v>
      </c>
      <c r="X2" s="7" t="s">
        <v>38</v>
      </c>
      <c r="Y2" s="8" t="s">
        <v>37</v>
      </c>
      <c r="Z2" s="7" t="s">
        <v>35</v>
      </c>
      <c r="AA2" s="8" t="s">
        <v>36</v>
      </c>
      <c r="AB2" s="9">
        <f t="shared" ref="AB2:AB14" si="0">Q2/100</f>
        <v>2.3286899999999999E-2</v>
      </c>
    </row>
    <row r="3" spans="1:28" x14ac:dyDescent="0.35">
      <c r="A3" s="4">
        <v>3737</v>
      </c>
      <c r="B3" s="5" t="s">
        <v>28</v>
      </c>
      <c r="C3" s="6">
        <v>43582</v>
      </c>
      <c r="D3" s="7">
        <v>112</v>
      </c>
      <c r="E3" s="8" t="s">
        <v>53</v>
      </c>
      <c r="F3" s="7" t="s">
        <v>57</v>
      </c>
      <c r="G3" s="8" t="s">
        <v>58</v>
      </c>
      <c r="H3" s="7" t="str">
        <f>"000049"</f>
        <v>000049</v>
      </c>
      <c r="I3" s="6">
        <v>42440</v>
      </c>
      <c r="J3" s="7" t="str">
        <f>"000014"</f>
        <v>000014</v>
      </c>
      <c r="K3" s="6">
        <v>43096</v>
      </c>
      <c r="L3" s="7" t="str">
        <f>"000016"</f>
        <v>000016</v>
      </c>
      <c r="M3" s="6">
        <v>43099</v>
      </c>
      <c r="N3" s="7">
        <v>16</v>
      </c>
      <c r="O3" s="7" t="str">
        <f>"001059"</f>
        <v>001059</v>
      </c>
      <c r="P3" s="6">
        <v>43581</v>
      </c>
      <c r="Q3" s="9">
        <v>9.9962</v>
      </c>
      <c r="R3" s="9">
        <v>1.14957</v>
      </c>
      <c r="S3" s="9">
        <v>8.8466299999999993</v>
      </c>
      <c r="T3" s="7">
        <v>31</v>
      </c>
      <c r="U3" s="6">
        <v>43582</v>
      </c>
      <c r="V3" s="7">
        <v>9845524294</v>
      </c>
      <c r="W3" s="8" t="s">
        <v>59</v>
      </c>
      <c r="X3" s="7" t="s">
        <v>45</v>
      </c>
      <c r="Y3" s="8" t="s">
        <v>46</v>
      </c>
      <c r="Z3" s="7" t="s">
        <v>60</v>
      </c>
      <c r="AA3" s="8" t="s">
        <v>61</v>
      </c>
      <c r="AB3" s="9">
        <f t="shared" si="0"/>
        <v>9.9961999999999995E-2</v>
      </c>
    </row>
    <row r="4" spans="1:28" x14ac:dyDescent="0.35">
      <c r="A4" s="4">
        <v>3738</v>
      </c>
      <c r="B4" s="5" t="s">
        <v>28</v>
      </c>
      <c r="C4" s="6">
        <v>43582</v>
      </c>
      <c r="D4" s="7">
        <v>112</v>
      </c>
      <c r="E4" s="8" t="s">
        <v>53</v>
      </c>
      <c r="F4" s="7" t="s">
        <v>62</v>
      </c>
      <c r="G4" s="8" t="s">
        <v>63</v>
      </c>
      <c r="H4" s="7" t="str">
        <f>"000059"</f>
        <v>000059</v>
      </c>
      <c r="I4" s="6">
        <v>42440</v>
      </c>
      <c r="J4" s="7" t="str">
        <f>"000013"</f>
        <v>000013</v>
      </c>
      <c r="K4" s="6">
        <v>43092</v>
      </c>
      <c r="L4" s="7" t="str">
        <f>"000017"</f>
        <v>000017</v>
      </c>
      <c r="M4" s="6">
        <v>43099</v>
      </c>
      <c r="N4" s="7">
        <v>16</v>
      </c>
      <c r="O4" s="7" t="str">
        <f>"001060"</f>
        <v>001060</v>
      </c>
      <c r="P4" s="6">
        <v>43581</v>
      </c>
      <c r="Q4" s="9">
        <v>2.9689999999999999</v>
      </c>
      <c r="R4" s="9">
        <v>0.39066000000000001</v>
      </c>
      <c r="S4" s="9">
        <v>2.5783399999999999</v>
      </c>
      <c r="T4" s="7">
        <v>31</v>
      </c>
      <c r="U4" s="6">
        <v>43582</v>
      </c>
      <c r="V4" s="7">
        <v>9845524294</v>
      </c>
      <c r="W4" s="8" t="s">
        <v>59</v>
      </c>
      <c r="X4" s="7" t="s">
        <v>45</v>
      </c>
      <c r="Y4" s="8" t="s">
        <v>46</v>
      </c>
      <c r="Z4" s="7" t="s">
        <v>60</v>
      </c>
      <c r="AA4" s="8" t="s">
        <v>61</v>
      </c>
      <c r="AB4" s="9">
        <f t="shared" si="0"/>
        <v>2.9689999999999998E-2</v>
      </c>
    </row>
    <row r="5" spans="1:28" x14ac:dyDescent="0.35">
      <c r="A5" s="4">
        <v>3739</v>
      </c>
      <c r="B5" s="5" t="s">
        <v>28</v>
      </c>
      <c r="C5" s="6">
        <v>43582</v>
      </c>
      <c r="D5" s="7">
        <v>112</v>
      </c>
      <c r="E5" s="8" t="s">
        <v>53</v>
      </c>
      <c r="F5" s="7" t="s">
        <v>54</v>
      </c>
      <c r="G5" s="8" t="s">
        <v>55</v>
      </c>
      <c r="H5" s="7" t="str">
        <f>"000004"</f>
        <v>000004</v>
      </c>
      <c r="I5" s="6">
        <v>42947</v>
      </c>
      <c r="J5" s="7" t="str">
        <f>"000221"</f>
        <v>000221</v>
      </c>
      <c r="K5" s="6">
        <v>43515</v>
      </c>
      <c r="L5" s="7" t="str">
        <f>"000220"</f>
        <v>000220</v>
      </c>
      <c r="M5" s="6">
        <v>43515</v>
      </c>
      <c r="N5" s="7">
        <v>16</v>
      </c>
      <c r="O5" s="7" t="str">
        <f>"001370"</f>
        <v>001370</v>
      </c>
      <c r="P5" s="6">
        <v>43593</v>
      </c>
      <c r="Q5" s="9">
        <v>16.30087</v>
      </c>
      <c r="R5" s="9">
        <v>2.25461</v>
      </c>
      <c r="S5" s="9">
        <v>14.04626</v>
      </c>
      <c r="T5" s="7">
        <v>32</v>
      </c>
      <c r="U5" s="6">
        <v>43582</v>
      </c>
      <c r="V5" s="7">
        <v>9845036857</v>
      </c>
      <c r="W5" s="8" t="s">
        <v>56</v>
      </c>
      <c r="X5" s="7" t="s">
        <v>38</v>
      </c>
      <c r="Y5" s="8" t="s">
        <v>37</v>
      </c>
      <c r="Z5" s="7" t="s">
        <v>35</v>
      </c>
      <c r="AA5" s="8" t="s">
        <v>36</v>
      </c>
      <c r="AB5" s="9">
        <f t="shared" si="0"/>
        <v>0.16300870000000001</v>
      </c>
    </row>
    <row r="6" spans="1:28" x14ac:dyDescent="0.35">
      <c r="A6" s="4">
        <v>3740</v>
      </c>
      <c r="B6" s="5" t="s">
        <v>32</v>
      </c>
      <c r="C6" s="6">
        <v>43588</v>
      </c>
      <c r="D6" s="7">
        <v>112</v>
      </c>
      <c r="E6" s="8" t="s">
        <v>53</v>
      </c>
      <c r="F6" s="7" t="s">
        <v>64</v>
      </c>
      <c r="G6" s="8" t="s">
        <v>65</v>
      </c>
      <c r="H6" s="7" t="str">
        <f>"000063"</f>
        <v>000063</v>
      </c>
      <c r="I6" s="6">
        <v>43468</v>
      </c>
      <c r="J6" s="7" t="str">
        <f>"000073"</f>
        <v>000073</v>
      </c>
      <c r="K6" s="6">
        <v>43549</v>
      </c>
      <c r="L6" s="7" t="str">
        <f>"000094"</f>
        <v>000094</v>
      </c>
      <c r="M6" s="6">
        <v>43550</v>
      </c>
      <c r="N6" s="7">
        <v>18</v>
      </c>
      <c r="O6" s="7" t="str">
        <f>"001196"</f>
        <v>001196</v>
      </c>
      <c r="P6" s="6">
        <v>43582</v>
      </c>
      <c r="Q6" s="9">
        <v>49.982199999999999</v>
      </c>
      <c r="R6" s="9">
        <v>5.2785000000000002</v>
      </c>
      <c r="S6" s="9">
        <v>44.703699999999998</v>
      </c>
      <c r="T6" s="7">
        <v>33</v>
      </c>
      <c r="U6" s="6">
        <v>43588</v>
      </c>
      <c r="V6" s="7">
        <v>8022975815</v>
      </c>
      <c r="W6" s="8" t="s">
        <v>50</v>
      </c>
      <c r="X6" s="7" t="s">
        <v>41</v>
      </c>
      <c r="Y6" s="8" t="s">
        <v>42</v>
      </c>
      <c r="Z6" s="7" t="s">
        <v>60</v>
      </c>
      <c r="AA6" s="8" t="s">
        <v>61</v>
      </c>
      <c r="AB6" s="9">
        <f t="shared" si="0"/>
        <v>0.49982199999999999</v>
      </c>
    </row>
    <row r="7" spans="1:28" x14ac:dyDescent="0.35">
      <c r="A7" s="4">
        <v>3741</v>
      </c>
      <c r="B7" s="5" t="s">
        <v>32</v>
      </c>
      <c r="C7" s="6">
        <v>43591</v>
      </c>
      <c r="D7" s="7">
        <v>112</v>
      </c>
      <c r="E7" s="8" t="s">
        <v>53</v>
      </c>
      <c r="F7" s="7" t="s">
        <v>66</v>
      </c>
      <c r="G7" s="8" t="s">
        <v>67</v>
      </c>
      <c r="H7" s="7" t="str">
        <f>"000167"</f>
        <v>000167</v>
      </c>
      <c r="I7" s="6">
        <v>43467</v>
      </c>
      <c r="J7" s="7" t="str">
        <f>"000060"</f>
        <v>000060</v>
      </c>
      <c r="K7" s="6">
        <v>43537</v>
      </c>
      <c r="L7" s="7" t="str">
        <f>"000103"</f>
        <v>000103</v>
      </c>
      <c r="M7" s="6">
        <v>43537</v>
      </c>
      <c r="N7" s="7">
        <v>18</v>
      </c>
      <c r="O7" s="7" t="str">
        <f>"001321"</f>
        <v>001321</v>
      </c>
      <c r="P7" s="6">
        <v>43588</v>
      </c>
      <c r="Q7" s="9">
        <v>14.950799999999999</v>
      </c>
      <c r="R7" s="9">
        <v>1.65025</v>
      </c>
      <c r="S7" s="9">
        <v>13.300549999999999</v>
      </c>
      <c r="T7" s="7">
        <v>35</v>
      </c>
      <c r="U7" s="6">
        <v>43591</v>
      </c>
      <c r="V7" s="7">
        <v>8022975812</v>
      </c>
      <c r="W7" s="8" t="s">
        <v>49</v>
      </c>
      <c r="X7" s="7" t="s">
        <v>33</v>
      </c>
      <c r="Y7" s="8" t="s">
        <v>34</v>
      </c>
      <c r="Z7" s="7" t="s">
        <v>68</v>
      </c>
      <c r="AA7" s="8" t="s">
        <v>69</v>
      </c>
      <c r="AB7" s="9">
        <f t="shared" si="0"/>
        <v>0.149508</v>
      </c>
    </row>
    <row r="8" spans="1:28" x14ac:dyDescent="0.35">
      <c r="A8" s="4">
        <v>3742</v>
      </c>
      <c r="B8" s="5" t="s">
        <v>32</v>
      </c>
      <c r="C8" s="6">
        <v>43591</v>
      </c>
      <c r="D8" s="7">
        <v>112</v>
      </c>
      <c r="E8" s="8" t="s">
        <v>53</v>
      </c>
      <c r="F8" s="7" t="s">
        <v>70</v>
      </c>
      <c r="G8" s="8" t="s">
        <v>71</v>
      </c>
      <c r="H8" s="7" t="str">
        <f>"000031"</f>
        <v>000031</v>
      </c>
      <c r="I8" s="6">
        <v>43406</v>
      </c>
      <c r="J8" s="7" t="str">
        <f>"000032"</f>
        <v>000032</v>
      </c>
      <c r="K8" s="6">
        <v>43444</v>
      </c>
      <c r="L8" s="7" t="str">
        <f>"000050"</f>
        <v>000050</v>
      </c>
      <c r="M8" s="6">
        <v>43444</v>
      </c>
      <c r="N8" s="7">
        <v>18</v>
      </c>
      <c r="O8" s="7" t="str">
        <f>"001244"</f>
        <v>001244</v>
      </c>
      <c r="P8" s="6">
        <v>43587</v>
      </c>
      <c r="Q8" s="9">
        <v>16.873000000000001</v>
      </c>
      <c r="R8" s="9">
        <v>1.8632500000000001</v>
      </c>
      <c r="S8" s="9">
        <v>15.00975</v>
      </c>
      <c r="T8" s="7">
        <v>39</v>
      </c>
      <c r="U8" s="6">
        <v>43591</v>
      </c>
      <c r="V8" s="7">
        <v>8022975815</v>
      </c>
      <c r="W8" s="8" t="s">
        <v>72</v>
      </c>
      <c r="X8" s="7" t="s">
        <v>47</v>
      </c>
      <c r="Y8" s="8" t="s">
        <v>48</v>
      </c>
      <c r="Z8" s="7" t="s">
        <v>60</v>
      </c>
      <c r="AA8" s="8" t="s">
        <v>61</v>
      </c>
      <c r="AB8" s="9">
        <f t="shared" si="0"/>
        <v>0.16873000000000002</v>
      </c>
    </row>
    <row r="9" spans="1:28" x14ac:dyDescent="0.35">
      <c r="A9" s="4">
        <v>3743</v>
      </c>
      <c r="B9" s="5" t="s">
        <v>32</v>
      </c>
      <c r="C9" s="6">
        <v>43591</v>
      </c>
      <c r="D9" s="7">
        <v>112</v>
      </c>
      <c r="E9" s="8" t="s">
        <v>53</v>
      </c>
      <c r="F9" s="7" t="s">
        <v>73</v>
      </c>
      <c r="G9" s="8" t="s">
        <v>74</v>
      </c>
      <c r="H9" s="7" t="str">
        <f>"000030"</f>
        <v>000030</v>
      </c>
      <c r="I9" s="6">
        <v>43406</v>
      </c>
      <c r="J9" s="7" t="str">
        <f>"000033"</f>
        <v>000033</v>
      </c>
      <c r="K9" s="6">
        <v>43444</v>
      </c>
      <c r="L9" s="7" t="str">
        <f>"000051"</f>
        <v>000051</v>
      </c>
      <c r="M9" s="6">
        <v>43444</v>
      </c>
      <c r="N9" s="7">
        <v>18</v>
      </c>
      <c r="O9" s="7" t="str">
        <f>"001245"</f>
        <v>001245</v>
      </c>
      <c r="P9" s="6">
        <v>43587</v>
      </c>
      <c r="Q9" s="9">
        <v>16.875299999999999</v>
      </c>
      <c r="R9" s="9">
        <v>1.8633999999999999</v>
      </c>
      <c r="S9" s="9">
        <v>15.011900000000001</v>
      </c>
      <c r="T9" s="7">
        <v>39</v>
      </c>
      <c r="U9" s="6">
        <v>43591</v>
      </c>
      <c r="V9" s="7">
        <v>8022975815</v>
      </c>
      <c r="W9" s="8" t="s">
        <v>72</v>
      </c>
      <c r="X9" s="7" t="s">
        <v>47</v>
      </c>
      <c r="Y9" s="8" t="s">
        <v>48</v>
      </c>
      <c r="Z9" s="7" t="s">
        <v>60</v>
      </c>
      <c r="AA9" s="8" t="s">
        <v>61</v>
      </c>
      <c r="AB9" s="9">
        <f t="shared" si="0"/>
        <v>0.16875299999999999</v>
      </c>
    </row>
    <row r="10" spans="1:28" x14ac:dyDescent="0.35">
      <c r="A10" s="4">
        <v>3744</v>
      </c>
      <c r="B10" s="5" t="s">
        <v>32</v>
      </c>
      <c r="C10" s="6">
        <v>43598</v>
      </c>
      <c r="D10" s="7">
        <v>112</v>
      </c>
      <c r="E10" s="8" t="s">
        <v>53</v>
      </c>
      <c r="F10" s="7" t="s">
        <v>54</v>
      </c>
      <c r="G10" s="8" t="s">
        <v>55</v>
      </c>
      <c r="H10" s="7" t="str">
        <f>"000004"</f>
        <v>000004</v>
      </c>
      <c r="I10" s="6">
        <v>42947</v>
      </c>
      <c r="J10" s="7" t="str">
        <f>"000221"</f>
        <v>000221</v>
      </c>
      <c r="K10" s="6">
        <v>43515</v>
      </c>
      <c r="L10" s="7" t="str">
        <f>"000220"</f>
        <v>000220</v>
      </c>
      <c r="M10" s="6">
        <v>43515</v>
      </c>
      <c r="N10" s="7">
        <v>16</v>
      </c>
      <c r="O10" s="7" t="str">
        <f>"001370"</f>
        <v>001370</v>
      </c>
      <c r="P10" s="6">
        <v>43593</v>
      </c>
      <c r="Q10" s="9">
        <v>9.1263199999999998</v>
      </c>
      <c r="R10" s="9">
        <v>1.2055</v>
      </c>
      <c r="S10" s="9">
        <v>7.92082</v>
      </c>
      <c r="T10" s="7">
        <v>43</v>
      </c>
      <c r="U10" s="6">
        <v>43598</v>
      </c>
      <c r="V10" s="7">
        <v>9845036857</v>
      </c>
      <c r="W10" s="8" t="s">
        <v>56</v>
      </c>
      <c r="X10" s="7" t="s">
        <v>38</v>
      </c>
      <c r="Y10" s="8" t="s">
        <v>37</v>
      </c>
      <c r="Z10" s="7" t="s">
        <v>35</v>
      </c>
      <c r="AA10" s="8" t="s">
        <v>36</v>
      </c>
      <c r="AB10" s="9">
        <f t="shared" si="0"/>
        <v>9.1263200000000003E-2</v>
      </c>
    </row>
    <row r="11" spans="1:28" x14ac:dyDescent="0.35">
      <c r="A11" s="4">
        <v>3745</v>
      </c>
      <c r="B11" s="5" t="s">
        <v>32</v>
      </c>
      <c r="C11" s="6">
        <v>43606</v>
      </c>
      <c r="D11" s="7">
        <v>112</v>
      </c>
      <c r="E11" s="8" t="s">
        <v>53</v>
      </c>
      <c r="F11" s="7" t="s">
        <v>75</v>
      </c>
      <c r="G11" s="8" t="s">
        <v>76</v>
      </c>
      <c r="H11" s="7" t="str">
        <f>"000061"</f>
        <v>000061</v>
      </c>
      <c r="I11" s="6">
        <v>43455</v>
      </c>
      <c r="J11" s="7" t="str">
        <f>"000034"</f>
        <v>000034</v>
      </c>
      <c r="K11" s="6">
        <v>43455</v>
      </c>
      <c r="L11" s="7" t="str">
        <f>"000055"</f>
        <v>000055</v>
      </c>
      <c r="M11" s="6">
        <v>43455</v>
      </c>
      <c r="N11" s="7">
        <v>17</v>
      </c>
      <c r="O11" s="7" t="str">
        <f>"001639"</f>
        <v>001639</v>
      </c>
      <c r="P11" s="6">
        <v>43601</v>
      </c>
      <c r="Q11" s="9">
        <v>4.05</v>
      </c>
      <c r="R11" s="9">
        <v>0.40500000000000003</v>
      </c>
      <c r="S11" s="9">
        <v>3.645</v>
      </c>
      <c r="T11" s="7">
        <v>54</v>
      </c>
      <c r="U11" s="6">
        <v>43606</v>
      </c>
      <c r="V11" s="7">
        <v>8023447710</v>
      </c>
      <c r="W11" s="8" t="s">
        <v>77</v>
      </c>
      <c r="X11" s="7" t="s">
        <v>51</v>
      </c>
      <c r="Y11" s="8" t="s">
        <v>52</v>
      </c>
      <c r="Z11" s="7" t="s">
        <v>60</v>
      </c>
      <c r="AA11" s="8" t="s">
        <v>61</v>
      </c>
      <c r="AB11" s="9">
        <f t="shared" si="0"/>
        <v>4.0500000000000001E-2</v>
      </c>
    </row>
    <row r="12" spans="1:28" x14ac:dyDescent="0.35">
      <c r="A12" s="4">
        <v>3746</v>
      </c>
      <c r="B12" s="5" t="s">
        <v>32</v>
      </c>
      <c r="C12" s="6">
        <v>43610</v>
      </c>
      <c r="D12" s="7">
        <v>112</v>
      </c>
      <c r="E12" s="8" t="s">
        <v>53</v>
      </c>
      <c r="F12" s="7" t="s">
        <v>78</v>
      </c>
      <c r="G12" s="8" t="s">
        <v>79</v>
      </c>
      <c r="H12" s="7" t="str">
        <f>"000164"</f>
        <v>000164</v>
      </c>
      <c r="I12" s="6">
        <v>43465</v>
      </c>
      <c r="J12" s="7" t="str">
        <f>"000005"</f>
        <v>000005</v>
      </c>
      <c r="K12" s="6">
        <v>43582</v>
      </c>
      <c r="L12" s="7" t="str">
        <f>"000009"</f>
        <v>000009</v>
      </c>
      <c r="M12" s="6">
        <v>43582</v>
      </c>
      <c r="N12" s="7">
        <v>18</v>
      </c>
      <c r="O12" s="7" t="str">
        <f>"001860"</f>
        <v>001860</v>
      </c>
      <c r="P12" s="6">
        <v>43606</v>
      </c>
      <c r="Q12" s="9">
        <v>4.9916999999999998</v>
      </c>
      <c r="R12" s="9">
        <v>0.55425000000000002</v>
      </c>
      <c r="S12" s="9">
        <v>4.4374500000000001</v>
      </c>
      <c r="T12" s="7">
        <v>58</v>
      </c>
      <c r="U12" s="6">
        <v>43610</v>
      </c>
      <c r="V12" s="7">
        <v>8022975812</v>
      </c>
      <c r="W12" s="8" t="s">
        <v>49</v>
      </c>
      <c r="X12" s="7" t="s">
        <v>43</v>
      </c>
      <c r="Y12" s="8" t="s">
        <v>44</v>
      </c>
      <c r="Z12" s="7" t="s">
        <v>68</v>
      </c>
      <c r="AA12" s="8" t="s">
        <v>69</v>
      </c>
      <c r="AB12" s="9">
        <f t="shared" si="0"/>
        <v>4.9916999999999996E-2</v>
      </c>
    </row>
    <row r="13" spans="1:28" x14ac:dyDescent="0.35">
      <c r="A13" s="4">
        <v>3747</v>
      </c>
      <c r="B13" s="5" t="s">
        <v>32</v>
      </c>
      <c r="C13" s="6">
        <v>43612</v>
      </c>
      <c r="D13" s="7">
        <v>112</v>
      </c>
      <c r="E13" s="8" t="s">
        <v>53</v>
      </c>
      <c r="F13" s="7" t="s">
        <v>80</v>
      </c>
      <c r="G13" s="8" t="s">
        <v>81</v>
      </c>
      <c r="H13" s="7" t="str">
        <f>"000070"</f>
        <v>000070</v>
      </c>
      <c r="I13" s="6">
        <v>43355</v>
      </c>
      <c r="J13" s="7" t="str">
        <f>"000016"</f>
        <v>000016</v>
      </c>
      <c r="K13" s="6">
        <v>43600</v>
      </c>
      <c r="L13" s="7" t="str">
        <f>"000024"</f>
        <v>000024</v>
      </c>
      <c r="M13" s="6">
        <v>43601</v>
      </c>
      <c r="N13" s="7">
        <v>17</v>
      </c>
      <c r="O13" s="7" t="str">
        <f>"002052"</f>
        <v>002052</v>
      </c>
      <c r="P13" s="6">
        <v>43609</v>
      </c>
      <c r="Q13" s="9">
        <v>60.831800000000001</v>
      </c>
      <c r="R13" s="9">
        <v>3.0933000000000002</v>
      </c>
      <c r="S13" s="9">
        <v>57.738500000000002</v>
      </c>
      <c r="T13" s="7">
        <v>61</v>
      </c>
      <c r="U13" s="6">
        <v>43612</v>
      </c>
      <c r="V13" s="7">
        <v>8022975812</v>
      </c>
      <c r="W13" s="8" t="s">
        <v>82</v>
      </c>
      <c r="X13" s="7" t="s">
        <v>39</v>
      </c>
      <c r="Y13" s="8" t="s">
        <v>40</v>
      </c>
      <c r="Z13" s="7" t="s">
        <v>68</v>
      </c>
      <c r="AA13" s="8" t="s">
        <v>69</v>
      </c>
      <c r="AB13" s="9">
        <f t="shared" si="0"/>
        <v>0.60831800000000003</v>
      </c>
    </row>
    <row r="14" spans="1:28" x14ac:dyDescent="0.35">
      <c r="A14" s="4">
        <v>3748</v>
      </c>
      <c r="B14" s="5" t="s">
        <v>32</v>
      </c>
      <c r="C14" s="6">
        <v>43615</v>
      </c>
      <c r="D14" s="7">
        <v>112</v>
      </c>
      <c r="E14" s="8" t="s">
        <v>53</v>
      </c>
      <c r="F14" s="7" t="s">
        <v>83</v>
      </c>
      <c r="G14" s="8" t="s">
        <v>84</v>
      </c>
      <c r="H14" s="7" t="str">
        <f>"000075"</f>
        <v>000075</v>
      </c>
      <c r="I14" s="6">
        <v>43068</v>
      </c>
      <c r="J14" s="7" t="str">
        <f>"000052"</f>
        <v>000052</v>
      </c>
      <c r="K14" s="6">
        <v>43068</v>
      </c>
      <c r="L14" s="7" t="str">
        <f>"000066"</f>
        <v>000066</v>
      </c>
      <c r="M14" s="6">
        <v>43068</v>
      </c>
      <c r="N14" s="7">
        <v>17</v>
      </c>
      <c r="O14" s="7" t="str">
        <f>"002201"</f>
        <v>002201</v>
      </c>
      <c r="P14" s="6">
        <v>43613</v>
      </c>
      <c r="Q14" s="9">
        <v>8.7250499999999995</v>
      </c>
      <c r="R14" s="9">
        <v>0.66312000000000004</v>
      </c>
      <c r="S14" s="9">
        <v>8.0619300000000003</v>
      </c>
      <c r="T14" s="7">
        <v>65</v>
      </c>
      <c r="U14" s="6">
        <v>43615</v>
      </c>
      <c r="V14" s="7">
        <v>8022975812</v>
      </c>
      <c r="W14" s="8" t="s">
        <v>85</v>
      </c>
      <c r="X14" s="7" t="s">
        <v>30</v>
      </c>
      <c r="Y14" s="8" t="s">
        <v>31</v>
      </c>
      <c r="Z14" s="7" t="s">
        <v>68</v>
      </c>
      <c r="AA14" s="8" t="s">
        <v>69</v>
      </c>
      <c r="AB14" s="9">
        <f t="shared" si="0"/>
        <v>8.7250499999999995E-2</v>
      </c>
    </row>
    <row r="15" spans="1:28" x14ac:dyDescent="0.35">
      <c r="A15" s="4">
        <v>3749</v>
      </c>
      <c r="B15" s="5" t="s">
        <v>29</v>
      </c>
      <c r="C15" s="6">
        <v>43628</v>
      </c>
      <c r="D15" s="7">
        <v>112</v>
      </c>
      <c r="E15" s="8" t="s">
        <v>53</v>
      </c>
      <c r="F15" s="7" t="s">
        <v>86</v>
      </c>
      <c r="G15" s="8" t="s">
        <v>87</v>
      </c>
      <c r="H15" s="7" t="str">
        <f>"000067"</f>
        <v>000067</v>
      </c>
      <c r="I15" s="6">
        <v>43045</v>
      </c>
      <c r="J15" s="7" t="str">
        <f>"000047"</f>
        <v>000047</v>
      </c>
      <c r="K15" s="6">
        <v>43048</v>
      </c>
      <c r="L15" s="7" t="str">
        <f>"000059"</f>
        <v>000059</v>
      </c>
      <c r="M15" s="6">
        <v>43059</v>
      </c>
      <c r="N15" s="7">
        <v>17</v>
      </c>
      <c r="O15" s="7" t="str">
        <f>"002415"</f>
        <v>002415</v>
      </c>
      <c r="P15" s="6">
        <v>43622</v>
      </c>
      <c r="Q15" s="9">
        <v>9.6820000000000004</v>
      </c>
      <c r="R15" s="9">
        <v>0.2034</v>
      </c>
      <c r="S15" s="9">
        <v>9.4786000000000001</v>
      </c>
      <c r="T15" s="7">
        <v>76</v>
      </c>
      <c r="U15" s="6">
        <v>43628</v>
      </c>
      <c r="V15" s="7">
        <v>8022975812</v>
      </c>
      <c r="W15" s="8" t="s">
        <v>88</v>
      </c>
      <c r="X15" s="7" t="s">
        <v>30</v>
      </c>
      <c r="Y15" s="8" t="s">
        <v>31</v>
      </c>
      <c r="Z15" s="7" t="s">
        <v>68</v>
      </c>
      <c r="AA15" s="8" t="s">
        <v>69</v>
      </c>
      <c r="AB15" s="9">
        <v>9.6820000000000003E-2</v>
      </c>
    </row>
    <row r="16" spans="1:28" x14ac:dyDescent="0.35">
      <c r="A16" s="4">
        <v>3750</v>
      </c>
      <c r="B16" s="5" t="s">
        <v>29</v>
      </c>
      <c r="C16" s="6">
        <v>43628</v>
      </c>
      <c r="D16" s="7">
        <v>112</v>
      </c>
      <c r="E16" s="8" t="s">
        <v>53</v>
      </c>
      <c r="F16" s="7" t="s">
        <v>89</v>
      </c>
      <c r="G16" s="8" t="s">
        <v>90</v>
      </c>
      <c r="H16" s="7" t="str">
        <f>"000082"</f>
        <v>000082</v>
      </c>
      <c r="I16" s="6">
        <v>43086</v>
      </c>
      <c r="J16" s="7" t="str">
        <f>"000055"</f>
        <v>000055</v>
      </c>
      <c r="K16" s="6">
        <v>43087</v>
      </c>
      <c r="L16" s="7" t="str">
        <f>"000072"</f>
        <v>000072</v>
      </c>
      <c r="M16" s="6">
        <v>43087</v>
      </c>
      <c r="N16" s="7">
        <v>16</v>
      </c>
      <c r="O16" s="7" t="str">
        <f>"002565"</f>
        <v>002565</v>
      </c>
      <c r="P16" s="6">
        <v>43627</v>
      </c>
      <c r="Q16" s="9">
        <v>13.484999999999999</v>
      </c>
      <c r="R16" s="9">
        <v>0.65939999999999999</v>
      </c>
      <c r="S16" s="9">
        <v>12.8256</v>
      </c>
      <c r="T16" s="7">
        <v>76</v>
      </c>
      <c r="U16" s="6">
        <v>43628</v>
      </c>
      <c r="V16" s="7">
        <v>8022975812</v>
      </c>
      <c r="W16" s="8" t="s">
        <v>91</v>
      </c>
      <c r="X16" s="7" t="s">
        <v>30</v>
      </c>
      <c r="Y16" s="8" t="s">
        <v>31</v>
      </c>
      <c r="Z16" s="7" t="s">
        <v>68</v>
      </c>
      <c r="AA16" s="8" t="s">
        <v>69</v>
      </c>
      <c r="AB16" s="9">
        <v>0.13485</v>
      </c>
    </row>
    <row r="17" spans="1:28" x14ac:dyDescent="0.35">
      <c r="A17" s="4">
        <v>3751</v>
      </c>
      <c r="B17" s="5" t="s">
        <v>29</v>
      </c>
      <c r="C17" s="6">
        <v>43633</v>
      </c>
      <c r="D17" s="7">
        <v>112</v>
      </c>
      <c r="E17" s="8" t="s">
        <v>53</v>
      </c>
      <c r="F17" s="7" t="s">
        <v>92</v>
      </c>
      <c r="G17" s="8" t="s">
        <v>93</v>
      </c>
      <c r="H17" s="7" t="str">
        <f>"000088"</f>
        <v>000088</v>
      </c>
      <c r="I17" s="6">
        <v>43388</v>
      </c>
      <c r="J17" s="7" t="str">
        <f>"000053"</f>
        <v>000053</v>
      </c>
      <c r="K17" s="6">
        <v>43496</v>
      </c>
      <c r="L17" s="7" t="str">
        <f>"000091"</f>
        <v>000091</v>
      </c>
      <c r="M17" s="6">
        <v>43496</v>
      </c>
      <c r="N17" s="7">
        <v>18</v>
      </c>
      <c r="O17" s="7" t="str">
        <f>"002763"</f>
        <v>002763</v>
      </c>
      <c r="P17" s="6">
        <v>43631</v>
      </c>
      <c r="Q17" s="9">
        <v>13.4885</v>
      </c>
      <c r="R17" s="9">
        <v>3.6288200000000002</v>
      </c>
      <c r="S17" s="9">
        <v>9.8596800000000009</v>
      </c>
      <c r="T17" s="7">
        <v>85</v>
      </c>
      <c r="U17" s="6">
        <v>43633</v>
      </c>
      <c r="V17" s="7">
        <v>8022975812</v>
      </c>
      <c r="W17" s="8" t="s">
        <v>94</v>
      </c>
      <c r="X17" s="7" t="s">
        <v>30</v>
      </c>
      <c r="Y17" s="8" t="s">
        <v>31</v>
      </c>
      <c r="Z17" s="7" t="s">
        <v>68</v>
      </c>
      <c r="AA17" s="8" t="s">
        <v>69</v>
      </c>
      <c r="AB17" s="9">
        <v>0.134885</v>
      </c>
    </row>
    <row r="18" spans="1:28" x14ac:dyDescent="0.35">
      <c r="A18" s="4">
        <v>3752</v>
      </c>
      <c r="B18" s="5" t="s">
        <v>97</v>
      </c>
      <c r="C18" s="6">
        <v>43663</v>
      </c>
      <c r="D18" s="7">
        <v>112</v>
      </c>
      <c r="E18" s="8" t="s">
        <v>53</v>
      </c>
      <c r="F18" s="7" t="s">
        <v>54</v>
      </c>
      <c r="G18" s="10" t="s">
        <v>55</v>
      </c>
      <c r="H18" s="7" t="str">
        <f>"000004"</f>
        <v>000004</v>
      </c>
      <c r="I18" s="6">
        <v>42947</v>
      </c>
      <c r="J18" s="7" t="str">
        <f>"000127"</f>
        <v>000127</v>
      </c>
      <c r="K18" s="6">
        <v>43780</v>
      </c>
      <c r="L18" s="7" t="str">
        <f>"000127"</f>
        <v>000127</v>
      </c>
      <c r="M18" s="6">
        <v>43780</v>
      </c>
      <c r="N18" s="7">
        <v>16</v>
      </c>
      <c r="O18" s="7" t="str">
        <f>"006352"</f>
        <v>006352</v>
      </c>
      <c r="P18" s="6">
        <v>43791</v>
      </c>
      <c r="Q18" s="11">
        <v>5.9704800000000002</v>
      </c>
      <c r="R18" s="11">
        <v>0.82821999999999996</v>
      </c>
      <c r="S18" s="11">
        <v>5.1422600000000003</v>
      </c>
      <c r="T18" s="7">
        <v>114</v>
      </c>
      <c r="U18" s="6">
        <v>43663</v>
      </c>
      <c r="V18" s="7">
        <v>9845036857</v>
      </c>
      <c r="W18" s="10" t="s">
        <v>56</v>
      </c>
      <c r="X18" s="7" t="s">
        <v>38</v>
      </c>
      <c r="Y18" s="10" t="s">
        <v>37</v>
      </c>
      <c r="Z18" s="7" t="s">
        <v>35</v>
      </c>
      <c r="AA18" s="10" t="s">
        <v>36</v>
      </c>
      <c r="AB18" s="11">
        <f t="shared" ref="AB18:AB32" si="1">Q18/100</f>
        <v>5.9704800000000002E-2</v>
      </c>
    </row>
    <row r="19" spans="1:28" x14ac:dyDescent="0.35">
      <c r="A19" s="4">
        <v>3753</v>
      </c>
      <c r="B19" s="5" t="s">
        <v>97</v>
      </c>
      <c r="C19" s="6">
        <v>43668</v>
      </c>
      <c r="D19" s="7">
        <v>112</v>
      </c>
      <c r="E19" s="8" t="s">
        <v>53</v>
      </c>
      <c r="F19" s="7" t="s">
        <v>141</v>
      </c>
      <c r="G19" s="10" t="s">
        <v>140</v>
      </c>
      <c r="H19" s="7" t="str">
        <f>"000168"</f>
        <v>000168</v>
      </c>
      <c r="I19" s="6">
        <v>43467</v>
      </c>
      <c r="J19" s="7" t="str">
        <f>"000023"</f>
        <v>000023</v>
      </c>
      <c r="K19" s="6">
        <v>43631</v>
      </c>
      <c r="L19" s="7" t="str">
        <f>"000037"</f>
        <v>000037</v>
      </c>
      <c r="M19" s="6">
        <v>43631</v>
      </c>
      <c r="N19" s="7">
        <v>18</v>
      </c>
      <c r="O19" s="7" t="str">
        <f>"003751"</f>
        <v>003751</v>
      </c>
      <c r="P19" s="6">
        <v>43664</v>
      </c>
      <c r="Q19" s="11">
        <v>4.9885000000000002</v>
      </c>
      <c r="R19" s="11">
        <v>0.5494</v>
      </c>
      <c r="S19" s="11">
        <v>4.4390999999999998</v>
      </c>
      <c r="T19" s="7">
        <v>119</v>
      </c>
      <c r="U19" s="6">
        <v>43668</v>
      </c>
      <c r="V19" s="7">
        <v>8022975812</v>
      </c>
      <c r="W19" s="10" t="s">
        <v>49</v>
      </c>
      <c r="X19" s="7" t="s">
        <v>139</v>
      </c>
      <c r="Y19" s="10" t="s">
        <v>138</v>
      </c>
      <c r="Z19" s="7" t="s">
        <v>68</v>
      </c>
      <c r="AA19" s="10" t="s">
        <v>69</v>
      </c>
      <c r="AB19" s="11">
        <f t="shared" si="1"/>
        <v>4.9884999999999999E-2</v>
      </c>
    </row>
    <row r="20" spans="1:28" x14ac:dyDescent="0.35">
      <c r="A20" s="4">
        <v>3754</v>
      </c>
      <c r="B20" s="5" t="s">
        <v>97</v>
      </c>
      <c r="C20" s="6">
        <v>43668</v>
      </c>
      <c r="D20" s="7">
        <v>112</v>
      </c>
      <c r="E20" s="8" t="s">
        <v>53</v>
      </c>
      <c r="F20" s="7" t="s">
        <v>137</v>
      </c>
      <c r="G20" s="10" t="s">
        <v>136</v>
      </c>
      <c r="H20" s="7" t="str">
        <f>"000163"</f>
        <v>000163</v>
      </c>
      <c r="I20" s="6">
        <v>43465</v>
      </c>
      <c r="J20" s="7" t="str">
        <f>"000014"</f>
        <v>000014</v>
      </c>
      <c r="K20" s="6">
        <v>43594</v>
      </c>
      <c r="L20" s="7" t="str">
        <f>"000019"</f>
        <v>000019</v>
      </c>
      <c r="M20" s="6">
        <v>43594</v>
      </c>
      <c r="N20" s="7">
        <v>18</v>
      </c>
      <c r="O20" s="7" t="str">
        <f>"003752"</f>
        <v>003752</v>
      </c>
      <c r="P20" s="6">
        <v>43664</v>
      </c>
      <c r="Q20" s="11">
        <v>4.9713000000000003</v>
      </c>
      <c r="R20" s="11">
        <v>0.54215000000000002</v>
      </c>
      <c r="S20" s="11">
        <v>4.4291499999999999</v>
      </c>
      <c r="T20" s="7">
        <v>119</v>
      </c>
      <c r="U20" s="6">
        <v>43668</v>
      </c>
      <c r="V20" s="7">
        <v>8022975812</v>
      </c>
      <c r="W20" s="10" t="s">
        <v>135</v>
      </c>
      <c r="X20" s="7" t="s">
        <v>134</v>
      </c>
      <c r="Y20" s="10" t="s">
        <v>133</v>
      </c>
      <c r="Z20" s="7" t="s">
        <v>68</v>
      </c>
      <c r="AA20" s="10" t="s">
        <v>69</v>
      </c>
      <c r="AB20" s="11">
        <f t="shared" si="1"/>
        <v>4.9713E-2</v>
      </c>
    </row>
    <row r="21" spans="1:28" x14ac:dyDescent="0.35">
      <c r="A21" s="4">
        <v>3755</v>
      </c>
      <c r="B21" s="5" t="s">
        <v>97</v>
      </c>
      <c r="C21" s="6">
        <v>43668</v>
      </c>
      <c r="D21" s="7">
        <v>112</v>
      </c>
      <c r="E21" s="8" t="s">
        <v>53</v>
      </c>
      <c r="F21" s="7" t="s">
        <v>132</v>
      </c>
      <c r="G21" s="10" t="s">
        <v>131</v>
      </c>
      <c r="H21" s="7" t="str">
        <f>"000116"</f>
        <v>000116</v>
      </c>
      <c r="I21" s="6">
        <v>43417</v>
      </c>
      <c r="J21" s="7" t="str">
        <f>"000026"</f>
        <v>000026</v>
      </c>
      <c r="K21" s="6">
        <v>43636</v>
      </c>
      <c r="L21" s="7" t="str">
        <f>"000040"</f>
        <v>000040</v>
      </c>
      <c r="M21" s="6">
        <v>43636</v>
      </c>
      <c r="N21" s="7">
        <v>17</v>
      </c>
      <c r="O21" s="7" t="str">
        <f>"003768"</f>
        <v>003768</v>
      </c>
      <c r="P21" s="6">
        <v>43664</v>
      </c>
      <c r="Q21" s="11">
        <v>9.8894000000000002</v>
      </c>
      <c r="R21" s="11">
        <v>0.40550000000000003</v>
      </c>
      <c r="S21" s="11">
        <v>9.4839000000000002</v>
      </c>
      <c r="T21" s="7">
        <v>119</v>
      </c>
      <c r="U21" s="6">
        <v>43668</v>
      </c>
      <c r="V21" s="7">
        <v>8022975812</v>
      </c>
      <c r="W21" s="10" t="s">
        <v>130</v>
      </c>
      <c r="X21" s="7" t="s">
        <v>99</v>
      </c>
      <c r="Y21" s="10" t="s">
        <v>98</v>
      </c>
      <c r="Z21" s="7" t="s">
        <v>68</v>
      </c>
      <c r="AA21" s="10" t="s">
        <v>69</v>
      </c>
      <c r="AB21" s="11">
        <f t="shared" si="1"/>
        <v>9.8893999999999996E-2</v>
      </c>
    </row>
    <row r="22" spans="1:28" x14ac:dyDescent="0.35">
      <c r="A22" s="4">
        <v>3756</v>
      </c>
      <c r="B22" s="5" t="s">
        <v>97</v>
      </c>
      <c r="C22" s="6">
        <v>43668</v>
      </c>
      <c r="D22" s="7">
        <v>112</v>
      </c>
      <c r="E22" s="8" t="s">
        <v>53</v>
      </c>
      <c r="F22" s="7" t="s">
        <v>129</v>
      </c>
      <c r="G22" s="10" t="s">
        <v>128</v>
      </c>
      <c r="H22" s="7" t="str">
        <f>"000165"</f>
        <v>000165</v>
      </c>
      <c r="I22" s="6">
        <v>43465</v>
      </c>
      <c r="J22" s="7" t="str">
        <f>"000012"</f>
        <v>000012</v>
      </c>
      <c r="K22" s="6">
        <v>43594</v>
      </c>
      <c r="L22" s="7" t="str">
        <f>"000021"</f>
        <v>000021</v>
      </c>
      <c r="M22" s="6">
        <v>43594</v>
      </c>
      <c r="N22" s="7">
        <v>18</v>
      </c>
      <c r="O22" s="7" t="str">
        <f>"003776"</f>
        <v>003776</v>
      </c>
      <c r="P22" s="6">
        <v>43664</v>
      </c>
      <c r="Q22" s="11">
        <v>14.978</v>
      </c>
      <c r="R22" s="11">
        <v>1.6527000000000001</v>
      </c>
      <c r="S22" s="11">
        <v>13.3253</v>
      </c>
      <c r="T22" s="7">
        <v>119</v>
      </c>
      <c r="U22" s="6">
        <v>43668</v>
      </c>
      <c r="V22" s="7">
        <v>8022975812</v>
      </c>
      <c r="W22" s="10" t="s">
        <v>49</v>
      </c>
      <c r="X22" s="7" t="s">
        <v>127</v>
      </c>
      <c r="Y22" s="10" t="s">
        <v>126</v>
      </c>
      <c r="Z22" s="7" t="s">
        <v>68</v>
      </c>
      <c r="AA22" s="10" t="s">
        <v>69</v>
      </c>
      <c r="AB22" s="11">
        <f t="shared" si="1"/>
        <v>0.14978</v>
      </c>
    </row>
    <row r="23" spans="1:28" x14ac:dyDescent="0.35">
      <c r="A23" s="4">
        <v>3757</v>
      </c>
      <c r="B23" s="5" t="s">
        <v>97</v>
      </c>
      <c r="C23" s="6">
        <v>43668</v>
      </c>
      <c r="D23" s="7">
        <v>112</v>
      </c>
      <c r="E23" s="8" t="s">
        <v>53</v>
      </c>
      <c r="F23" s="7" t="s">
        <v>125</v>
      </c>
      <c r="G23" s="10" t="s">
        <v>124</v>
      </c>
      <c r="H23" s="7" t="str">
        <f>"000166"</f>
        <v>000166</v>
      </c>
      <c r="I23" s="6">
        <v>43465</v>
      </c>
      <c r="J23" s="7" t="str">
        <f>"000013"</f>
        <v>000013</v>
      </c>
      <c r="K23" s="6">
        <v>43594</v>
      </c>
      <c r="L23" s="7" t="str">
        <f>"000020"</f>
        <v>000020</v>
      </c>
      <c r="M23" s="6">
        <v>43594</v>
      </c>
      <c r="N23" s="7">
        <v>18</v>
      </c>
      <c r="O23" s="7" t="str">
        <f>"003779"</f>
        <v>003779</v>
      </c>
      <c r="P23" s="6">
        <v>43664</v>
      </c>
      <c r="Q23" s="11">
        <v>19.8672</v>
      </c>
      <c r="R23" s="11">
        <v>2.12595</v>
      </c>
      <c r="S23" s="11">
        <v>17.741250000000001</v>
      </c>
      <c r="T23" s="7">
        <v>119</v>
      </c>
      <c r="U23" s="6">
        <v>43668</v>
      </c>
      <c r="V23" s="7">
        <v>8022975812</v>
      </c>
      <c r="W23" s="10" t="s">
        <v>49</v>
      </c>
      <c r="X23" s="7" t="s">
        <v>123</v>
      </c>
      <c r="Y23" s="10" t="s">
        <v>122</v>
      </c>
      <c r="Z23" s="7" t="s">
        <v>68</v>
      </c>
      <c r="AA23" s="10" t="s">
        <v>69</v>
      </c>
      <c r="AB23" s="11">
        <f t="shared" si="1"/>
        <v>0.19867200000000002</v>
      </c>
    </row>
    <row r="24" spans="1:28" x14ac:dyDescent="0.35">
      <c r="A24" s="4">
        <v>3758</v>
      </c>
      <c r="B24" s="5" t="s">
        <v>97</v>
      </c>
      <c r="C24" s="6">
        <v>43669</v>
      </c>
      <c r="D24" s="7">
        <v>112</v>
      </c>
      <c r="E24" s="8" t="s">
        <v>53</v>
      </c>
      <c r="F24" s="7" t="s">
        <v>121</v>
      </c>
      <c r="G24" s="10" t="s">
        <v>120</v>
      </c>
      <c r="H24" s="7" t="str">
        <f>"000-38"</f>
        <v>000-38</v>
      </c>
      <c r="I24" s="6">
        <v>42632</v>
      </c>
      <c r="J24" s="7" t="str">
        <f>"000114"</f>
        <v>000114</v>
      </c>
      <c r="K24" s="6">
        <v>42705</v>
      </c>
      <c r="L24" s="7" t="str">
        <f>"000169"</f>
        <v>000169</v>
      </c>
      <c r="M24" s="6">
        <v>42735</v>
      </c>
      <c r="N24" s="7">
        <v>16</v>
      </c>
      <c r="O24" s="7" t="str">
        <f>"003670"</f>
        <v>003670</v>
      </c>
      <c r="P24" s="6">
        <v>43293</v>
      </c>
      <c r="Q24" s="11">
        <v>9.9795999999999996</v>
      </c>
      <c r="R24" s="11">
        <v>0.69869999999999999</v>
      </c>
      <c r="S24" s="11">
        <v>9.2809000000000008</v>
      </c>
      <c r="T24" s="7">
        <v>122</v>
      </c>
      <c r="U24" s="6">
        <v>43669</v>
      </c>
      <c r="V24" s="7">
        <v>8022975812</v>
      </c>
      <c r="W24" s="10" t="s">
        <v>119</v>
      </c>
      <c r="X24" s="7" t="s">
        <v>30</v>
      </c>
      <c r="Y24" s="10" t="s">
        <v>31</v>
      </c>
      <c r="Z24" s="7" t="s">
        <v>68</v>
      </c>
      <c r="AA24" s="10" t="s">
        <v>69</v>
      </c>
      <c r="AB24" s="11">
        <f t="shared" si="1"/>
        <v>9.9795999999999996E-2</v>
      </c>
    </row>
    <row r="25" spans="1:28" x14ac:dyDescent="0.35">
      <c r="A25" s="4">
        <v>3759</v>
      </c>
      <c r="B25" s="5" t="s">
        <v>97</v>
      </c>
      <c r="C25" s="6">
        <v>43669</v>
      </c>
      <c r="D25" s="7">
        <v>112</v>
      </c>
      <c r="E25" s="8" t="s">
        <v>53</v>
      </c>
      <c r="F25" s="7" t="s">
        <v>118</v>
      </c>
      <c r="G25" s="10" t="s">
        <v>117</v>
      </c>
      <c r="H25" s="7" t="str">
        <f>"000116"</f>
        <v>000116</v>
      </c>
      <c r="I25" s="6">
        <v>43137</v>
      </c>
      <c r="J25" s="7" t="str">
        <f>"000076"</f>
        <v>000076</v>
      </c>
      <c r="K25" s="6">
        <v>43137</v>
      </c>
      <c r="L25" s="7" t="str">
        <f>"000104"</f>
        <v>000104</v>
      </c>
      <c r="M25" s="6">
        <v>43137</v>
      </c>
      <c r="N25" s="7">
        <v>15</v>
      </c>
      <c r="O25" s="7" t="str">
        <f>"003553"</f>
        <v>003553</v>
      </c>
      <c r="P25" s="6">
        <v>43663</v>
      </c>
      <c r="Q25" s="11">
        <v>9.0630000000000006</v>
      </c>
      <c r="R25" s="11">
        <v>0.28149999999999997</v>
      </c>
      <c r="S25" s="11">
        <v>8.7814999999999994</v>
      </c>
      <c r="T25" s="7">
        <v>122</v>
      </c>
      <c r="U25" s="6">
        <v>43669</v>
      </c>
      <c r="V25" s="7">
        <v>8022975812</v>
      </c>
      <c r="W25" s="10" t="s">
        <v>116</v>
      </c>
      <c r="X25" s="7" t="s">
        <v>30</v>
      </c>
      <c r="Y25" s="10" t="s">
        <v>31</v>
      </c>
      <c r="Z25" s="7" t="s">
        <v>68</v>
      </c>
      <c r="AA25" s="10" t="s">
        <v>69</v>
      </c>
      <c r="AB25" s="11">
        <f t="shared" si="1"/>
        <v>9.0630000000000002E-2</v>
      </c>
    </row>
    <row r="26" spans="1:28" x14ac:dyDescent="0.35">
      <c r="A26" s="4">
        <v>3760</v>
      </c>
      <c r="B26" s="5" t="s">
        <v>97</v>
      </c>
      <c r="C26" s="6">
        <v>43669</v>
      </c>
      <c r="D26" s="7">
        <v>112</v>
      </c>
      <c r="E26" s="8" t="s">
        <v>53</v>
      </c>
      <c r="F26" s="7" t="s">
        <v>115</v>
      </c>
      <c r="G26" s="10" t="s">
        <v>114</v>
      </c>
      <c r="H26" s="7" t="str">
        <f>"000115"</f>
        <v>000115</v>
      </c>
      <c r="I26" s="6">
        <v>43137</v>
      </c>
      <c r="J26" s="7" t="str">
        <f>"000077"</f>
        <v>000077</v>
      </c>
      <c r="K26" s="6">
        <v>43137</v>
      </c>
      <c r="L26" s="7" t="str">
        <f>"000105"</f>
        <v>000105</v>
      </c>
      <c r="M26" s="6">
        <v>43137</v>
      </c>
      <c r="N26" s="7">
        <v>15</v>
      </c>
      <c r="O26" s="7" t="str">
        <f>"003555"</f>
        <v>003555</v>
      </c>
      <c r="P26" s="6">
        <v>43663</v>
      </c>
      <c r="Q26" s="11">
        <v>18.274799999999999</v>
      </c>
      <c r="R26" s="11">
        <v>0.56689999999999996</v>
      </c>
      <c r="S26" s="11">
        <v>17.707899999999999</v>
      </c>
      <c r="T26" s="7">
        <v>122</v>
      </c>
      <c r="U26" s="6">
        <v>43669</v>
      </c>
      <c r="V26" s="7">
        <v>8022975812</v>
      </c>
      <c r="W26" s="10" t="s">
        <v>113</v>
      </c>
      <c r="X26" s="7" t="s">
        <v>30</v>
      </c>
      <c r="Y26" s="10" t="s">
        <v>31</v>
      </c>
      <c r="Z26" s="7" t="s">
        <v>68</v>
      </c>
      <c r="AA26" s="10" t="s">
        <v>69</v>
      </c>
      <c r="AB26" s="11">
        <f t="shared" si="1"/>
        <v>0.18274799999999999</v>
      </c>
    </row>
    <row r="27" spans="1:28" x14ac:dyDescent="0.35">
      <c r="A27" s="4">
        <v>3761</v>
      </c>
      <c r="B27" s="5" t="s">
        <v>97</v>
      </c>
      <c r="C27" s="6">
        <v>43677</v>
      </c>
      <c r="D27" s="7">
        <v>112</v>
      </c>
      <c r="E27" s="8" t="s">
        <v>53</v>
      </c>
      <c r="F27" s="7" t="s">
        <v>112</v>
      </c>
      <c r="G27" s="10" t="s">
        <v>111</v>
      </c>
      <c r="H27" s="7" t="str">
        <f>"000119"</f>
        <v>000119</v>
      </c>
      <c r="I27" s="6">
        <v>43150</v>
      </c>
      <c r="J27" s="7" t="str">
        <f>"000080"</f>
        <v>000080</v>
      </c>
      <c r="K27" s="6">
        <v>43150</v>
      </c>
      <c r="L27" s="7" t="str">
        <f>"000108"</f>
        <v>000108</v>
      </c>
      <c r="M27" s="6">
        <v>43150</v>
      </c>
      <c r="N27" s="7">
        <v>17</v>
      </c>
      <c r="O27" s="7" t="str">
        <f>"003938"</f>
        <v>003938</v>
      </c>
      <c r="P27" s="6">
        <v>43670</v>
      </c>
      <c r="Q27" s="11">
        <v>13.9438</v>
      </c>
      <c r="R27" s="11">
        <v>0.98960000000000004</v>
      </c>
      <c r="S27" s="11">
        <v>12.9542</v>
      </c>
      <c r="T27" s="7">
        <v>135</v>
      </c>
      <c r="U27" s="6">
        <v>43677</v>
      </c>
      <c r="V27" s="7">
        <v>8022975812</v>
      </c>
      <c r="W27" s="10" t="s">
        <v>108</v>
      </c>
      <c r="X27" s="7" t="s">
        <v>30</v>
      </c>
      <c r="Y27" s="10" t="s">
        <v>31</v>
      </c>
      <c r="Z27" s="7" t="s">
        <v>68</v>
      </c>
      <c r="AA27" s="10" t="s">
        <v>69</v>
      </c>
      <c r="AB27" s="11">
        <f t="shared" si="1"/>
        <v>0.13943800000000001</v>
      </c>
    </row>
    <row r="28" spans="1:28" x14ac:dyDescent="0.35">
      <c r="A28" s="4">
        <v>3762</v>
      </c>
      <c r="B28" s="5" t="s">
        <v>97</v>
      </c>
      <c r="C28" s="6">
        <v>43677</v>
      </c>
      <c r="D28" s="7">
        <v>112</v>
      </c>
      <c r="E28" s="8" t="s">
        <v>53</v>
      </c>
      <c r="F28" s="7" t="s">
        <v>110</v>
      </c>
      <c r="G28" s="10" t="s">
        <v>109</v>
      </c>
      <c r="H28" s="7" t="str">
        <f>"000120"</f>
        <v>000120</v>
      </c>
      <c r="I28" s="6">
        <v>43150</v>
      </c>
      <c r="J28" s="7" t="str">
        <f>"000081"</f>
        <v>000081</v>
      </c>
      <c r="K28" s="6">
        <v>43150</v>
      </c>
      <c r="L28" s="7" t="str">
        <f>"000109"</f>
        <v>000109</v>
      </c>
      <c r="M28" s="6">
        <v>43150</v>
      </c>
      <c r="N28" s="7">
        <v>17</v>
      </c>
      <c r="O28" s="7" t="str">
        <f>"003939"</f>
        <v>003939</v>
      </c>
      <c r="P28" s="6">
        <v>43670</v>
      </c>
      <c r="Q28" s="11">
        <v>13.9473</v>
      </c>
      <c r="R28" s="11">
        <v>0.71045000000000003</v>
      </c>
      <c r="S28" s="11">
        <v>13.23685</v>
      </c>
      <c r="T28" s="7">
        <v>135</v>
      </c>
      <c r="U28" s="6">
        <v>43677</v>
      </c>
      <c r="V28" s="7">
        <v>8022975812</v>
      </c>
      <c r="W28" s="10" t="s">
        <v>108</v>
      </c>
      <c r="X28" s="7" t="s">
        <v>30</v>
      </c>
      <c r="Y28" s="10" t="s">
        <v>31</v>
      </c>
      <c r="Z28" s="7" t="s">
        <v>68</v>
      </c>
      <c r="AA28" s="10" t="s">
        <v>69</v>
      </c>
      <c r="AB28" s="11">
        <f t="shared" si="1"/>
        <v>0.13947300000000001</v>
      </c>
    </row>
    <row r="29" spans="1:28" x14ac:dyDescent="0.35">
      <c r="A29" s="4">
        <v>3763</v>
      </c>
      <c r="B29" s="5" t="s">
        <v>96</v>
      </c>
      <c r="C29" s="6">
        <v>43680</v>
      </c>
      <c r="D29" s="7">
        <v>112</v>
      </c>
      <c r="E29" s="8" t="s">
        <v>53</v>
      </c>
      <c r="F29" s="7" t="s">
        <v>80</v>
      </c>
      <c r="G29" s="10" t="s">
        <v>81</v>
      </c>
      <c r="H29" s="7" t="str">
        <f>"000070"</f>
        <v>000070</v>
      </c>
      <c r="I29" s="6">
        <v>43355</v>
      </c>
      <c r="J29" s="7" t="str">
        <f>"000056"</f>
        <v>000056</v>
      </c>
      <c r="K29" s="6">
        <v>43763</v>
      </c>
      <c r="L29" s="7" t="str">
        <f>"000094"</f>
        <v>000094</v>
      </c>
      <c r="M29" s="6">
        <v>43763</v>
      </c>
      <c r="N29" s="7">
        <v>17</v>
      </c>
      <c r="O29" s="7" t="str">
        <f>"006158"</f>
        <v>006158</v>
      </c>
      <c r="P29" s="6">
        <v>43777</v>
      </c>
      <c r="Q29" s="11">
        <v>47.506700000000002</v>
      </c>
      <c r="R29" s="11">
        <v>2.1876500000000001</v>
      </c>
      <c r="S29" s="11">
        <v>45.319049999999997</v>
      </c>
      <c r="T29" s="7">
        <v>142</v>
      </c>
      <c r="U29" s="6">
        <v>43680</v>
      </c>
      <c r="V29" s="7">
        <v>8022975812</v>
      </c>
      <c r="W29" s="10" t="s">
        <v>82</v>
      </c>
      <c r="X29" s="7" t="s">
        <v>39</v>
      </c>
      <c r="Y29" s="10" t="s">
        <v>40</v>
      </c>
      <c r="Z29" s="7" t="s">
        <v>68</v>
      </c>
      <c r="AA29" s="10" t="s">
        <v>69</v>
      </c>
      <c r="AB29" s="11">
        <f t="shared" si="1"/>
        <v>0.47506700000000002</v>
      </c>
    </row>
    <row r="30" spans="1:28" x14ac:dyDescent="0.35">
      <c r="A30" s="4">
        <v>3764</v>
      </c>
      <c r="B30" s="5" t="s">
        <v>96</v>
      </c>
      <c r="C30" s="6">
        <v>43686</v>
      </c>
      <c r="D30" s="7">
        <v>112</v>
      </c>
      <c r="E30" s="8" t="s">
        <v>53</v>
      </c>
      <c r="F30" s="7" t="s">
        <v>107</v>
      </c>
      <c r="G30" s="10" t="s">
        <v>106</v>
      </c>
      <c r="H30" s="7" t="str">
        <f>"000084"</f>
        <v>000084</v>
      </c>
      <c r="I30" s="6">
        <v>43087</v>
      </c>
      <c r="J30" s="7" t="str">
        <f>"000056"</f>
        <v>000056</v>
      </c>
      <c r="K30" s="6">
        <v>43087</v>
      </c>
      <c r="L30" s="7" t="str">
        <f>"000074"</f>
        <v>000074</v>
      </c>
      <c r="M30" s="6">
        <v>43087</v>
      </c>
      <c r="N30" s="7">
        <v>17</v>
      </c>
      <c r="O30" s="7" t="str">
        <f>"008779"</f>
        <v>008779</v>
      </c>
      <c r="P30" s="6">
        <v>43098</v>
      </c>
      <c r="Q30" s="11">
        <v>102.6665</v>
      </c>
      <c r="R30" s="11">
        <v>17.943999999999999</v>
      </c>
      <c r="S30" s="11">
        <v>84.722499999999997</v>
      </c>
      <c r="T30" s="7">
        <v>150</v>
      </c>
      <c r="U30" s="6">
        <v>43686</v>
      </c>
      <c r="V30" s="7">
        <v>8022975812</v>
      </c>
      <c r="W30" s="10" t="s">
        <v>105</v>
      </c>
      <c r="X30" s="7" t="s">
        <v>41</v>
      </c>
      <c r="Y30" s="10" t="s">
        <v>42</v>
      </c>
      <c r="Z30" s="7" t="s">
        <v>68</v>
      </c>
      <c r="AA30" s="10" t="s">
        <v>69</v>
      </c>
      <c r="AB30" s="11">
        <f t="shared" si="1"/>
        <v>1.0266649999999999</v>
      </c>
    </row>
    <row r="31" spans="1:28" x14ac:dyDescent="0.35">
      <c r="A31" s="4">
        <v>3765</v>
      </c>
      <c r="B31" s="5" t="s">
        <v>96</v>
      </c>
      <c r="C31" s="6">
        <v>43690</v>
      </c>
      <c r="D31" s="7">
        <v>112</v>
      </c>
      <c r="E31" s="8" t="s">
        <v>53</v>
      </c>
      <c r="F31" s="7" t="s">
        <v>104</v>
      </c>
      <c r="G31" s="10" t="s">
        <v>103</v>
      </c>
      <c r="H31" s="7" t="str">
        <f>"000033"</f>
        <v>000033</v>
      </c>
      <c r="I31" s="6">
        <v>43406</v>
      </c>
      <c r="J31" s="7" t="str">
        <f>"000009"</f>
        <v>000009</v>
      </c>
      <c r="K31" s="6">
        <v>43615</v>
      </c>
      <c r="L31" s="7" t="str">
        <f>"000006"</f>
        <v>000006</v>
      </c>
      <c r="M31" s="6">
        <v>43615</v>
      </c>
      <c r="N31" s="7">
        <v>18</v>
      </c>
      <c r="O31" s="7" t="str">
        <f>"004144"</f>
        <v>004144</v>
      </c>
      <c r="P31" s="6">
        <v>43678</v>
      </c>
      <c r="Q31" s="11">
        <v>19.9953</v>
      </c>
      <c r="R31" s="11">
        <v>2.1495000000000002</v>
      </c>
      <c r="S31" s="11">
        <v>17.845800000000001</v>
      </c>
      <c r="T31" s="7">
        <v>152</v>
      </c>
      <c r="U31" s="6">
        <v>43690</v>
      </c>
      <c r="V31" s="7">
        <v>8022975815</v>
      </c>
      <c r="W31" s="10" t="s">
        <v>72</v>
      </c>
      <c r="X31" s="7" t="s">
        <v>47</v>
      </c>
      <c r="Y31" s="10" t="s">
        <v>48</v>
      </c>
      <c r="Z31" s="7" t="s">
        <v>60</v>
      </c>
      <c r="AA31" s="10" t="s">
        <v>61</v>
      </c>
      <c r="AB31" s="11">
        <f t="shared" si="1"/>
        <v>0.19995299999999999</v>
      </c>
    </row>
    <row r="32" spans="1:28" x14ac:dyDescent="0.35">
      <c r="A32" s="4">
        <v>3766</v>
      </c>
      <c r="B32" s="5" t="s">
        <v>95</v>
      </c>
      <c r="C32" s="6">
        <v>43726</v>
      </c>
      <c r="D32" s="7">
        <v>112</v>
      </c>
      <c r="E32" s="8" t="s">
        <v>53</v>
      </c>
      <c r="F32" s="7" t="s">
        <v>102</v>
      </c>
      <c r="G32" s="10" t="s">
        <v>101</v>
      </c>
      <c r="H32" s="7" t="str">
        <f>"000010"</f>
        <v>000010</v>
      </c>
      <c r="I32" s="6">
        <v>43197</v>
      </c>
      <c r="J32" s="7" t="str">
        <f>"000032"</f>
        <v>000032</v>
      </c>
      <c r="K32" s="6">
        <v>43648</v>
      </c>
      <c r="L32" s="7" t="str">
        <f>"000051"</f>
        <v>000051</v>
      </c>
      <c r="M32" s="6">
        <v>43648</v>
      </c>
      <c r="N32" s="7">
        <v>17</v>
      </c>
      <c r="O32" s="7" t="str">
        <f>"005000"</f>
        <v>005000</v>
      </c>
      <c r="P32" s="6">
        <v>43719</v>
      </c>
      <c r="Q32" s="11">
        <v>8.3018999999999998</v>
      </c>
      <c r="R32" s="11">
        <v>0.48275000000000001</v>
      </c>
      <c r="S32" s="11">
        <v>7.8191499999999996</v>
      </c>
      <c r="T32" s="7">
        <v>191</v>
      </c>
      <c r="U32" s="6">
        <v>43726</v>
      </c>
      <c r="V32" s="7">
        <v>8022975812</v>
      </c>
      <c r="W32" s="10" t="s">
        <v>100</v>
      </c>
      <c r="X32" s="7" t="s">
        <v>99</v>
      </c>
      <c r="Y32" s="10" t="s">
        <v>98</v>
      </c>
      <c r="Z32" s="7" t="s">
        <v>68</v>
      </c>
      <c r="AA32" s="10" t="s">
        <v>69</v>
      </c>
      <c r="AB32" s="11">
        <f t="shared" si="1"/>
        <v>8.3018999999999996E-2</v>
      </c>
    </row>
    <row r="33" spans="1:28" x14ac:dyDescent="0.35">
      <c r="A33" s="4">
        <v>3767</v>
      </c>
      <c r="B33" s="5" t="s">
        <v>142</v>
      </c>
      <c r="C33" s="6">
        <v>43777</v>
      </c>
      <c r="D33" s="4">
        <v>112</v>
      </c>
      <c r="E33" s="8" t="s">
        <v>53</v>
      </c>
      <c r="F33" s="7" t="s">
        <v>143</v>
      </c>
      <c r="G33" s="8" t="s">
        <v>144</v>
      </c>
      <c r="H33" s="7" t="str">
        <f>"000136"</f>
        <v>000136</v>
      </c>
      <c r="I33" s="6">
        <v>43181</v>
      </c>
      <c r="J33" s="7" t="str">
        <f>"000040"</f>
        <v>000040</v>
      </c>
      <c r="K33" s="6">
        <v>43679</v>
      </c>
      <c r="L33" s="7" t="str">
        <f>"000064"</f>
        <v>000064</v>
      </c>
      <c r="M33" s="6">
        <v>43680</v>
      </c>
      <c r="N33" s="7">
        <v>16</v>
      </c>
      <c r="O33" s="7" t="str">
        <f>"006169"</f>
        <v>006169</v>
      </c>
      <c r="P33" s="6">
        <v>43777</v>
      </c>
      <c r="Q33" s="9">
        <v>4.4829999999999997</v>
      </c>
      <c r="R33" s="9">
        <v>3.9671500000000002</v>
      </c>
      <c r="S33" s="9">
        <v>0.51585000000000003</v>
      </c>
      <c r="T33" s="7">
        <v>13</v>
      </c>
      <c r="U33" s="6">
        <v>43777</v>
      </c>
      <c r="V33" s="7">
        <v>8022975812</v>
      </c>
      <c r="W33" s="8" t="s">
        <v>145</v>
      </c>
      <c r="X33" s="7" t="s">
        <v>51</v>
      </c>
      <c r="Y33" s="8" t="s">
        <v>52</v>
      </c>
      <c r="Z33" s="7" t="s">
        <v>68</v>
      </c>
      <c r="AA33" s="8" t="s">
        <v>69</v>
      </c>
      <c r="AB33" s="9">
        <v>4.4829999999999995E-2</v>
      </c>
    </row>
    <row r="34" spans="1:28" x14ac:dyDescent="0.35">
      <c r="A34" s="4">
        <v>3768</v>
      </c>
      <c r="B34" s="5" t="s">
        <v>142</v>
      </c>
      <c r="C34" s="6">
        <v>43780</v>
      </c>
      <c r="D34" s="4">
        <v>112</v>
      </c>
      <c r="E34" s="8" t="s">
        <v>53</v>
      </c>
      <c r="F34" s="7" t="s">
        <v>80</v>
      </c>
      <c r="G34" s="8" t="s">
        <v>81</v>
      </c>
      <c r="H34" s="7" t="str">
        <f>"000070"</f>
        <v>000070</v>
      </c>
      <c r="I34" s="6">
        <v>43355</v>
      </c>
      <c r="J34" s="7" t="str">
        <f>"000056"</f>
        <v>000056</v>
      </c>
      <c r="K34" s="6">
        <v>43763</v>
      </c>
      <c r="L34" s="7" t="str">
        <f>"000094"</f>
        <v>000094</v>
      </c>
      <c r="M34" s="6">
        <v>43763</v>
      </c>
      <c r="N34" s="7">
        <v>17</v>
      </c>
      <c r="O34" s="7" t="str">
        <f>"006158"</f>
        <v>006158</v>
      </c>
      <c r="P34" s="6">
        <v>43777</v>
      </c>
      <c r="Q34" s="9">
        <v>47.448700000000002</v>
      </c>
      <c r="R34" s="9">
        <v>2.0095999999999998</v>
      </c>
      <c r="S34" s="9">
        <v>45.439100000000003</v>
      </c>
      <c r="T34" s="7">
        <v>13</v>
      </c>
      <c r="U34" s="6">
        <v>43780</v>
      </c>
      <c r="V34" s="7">
        <v>8022975812</v>
      </c>
      <c r="W34" s="8" t="s">
        <v>82</v>
      </c>
      <c r="X34" s="7" t="s">
        <v>39</v>
      </c>
      <c r="Y34" s="8" t="s">
        <v>40</v>
      </c>
      <c r="Z34" s="7" t="s">
        <v>68</v>
      </c>
      <c r="AA34" s="8" t="s">
        <v>69</v>
      </c>
      <c r="AB34" s="9">
        <v>0.47448700000000005</v>
      </c>
    </row>
    <row r="35" spans="1:28" x14ac:dyDescent="0.35">
      <c r="A35" s="4">
        <v>3769</v>
      </c>
      <c r="B35" s="5" t="s">
        <v>142</v>
      </c>
      <c r="C35" s="6">
        <v>43795</v>
      </c>
      <c r="D35" s="4">
        <v>112</v>
      </c>
      <c r="E35" s="8" t="s">
        <v>53</v>
      </c>
      <c r="F35" s="7" t="s">
        <v>54</v>
      </c>
      <c r="G35" s="8" t="s">
        <v>55</v>
      </c>
      <c r="H35" s="7" t="str">
        <f>"000004"</f>
        <v>000004</v>
      </c>
      <c r="I35" s="6">
        <v>42947</v>
      </c>
      <c r="J35" s="7" t="str">
        <f>"000127"</f>
        <v>000127</v>
      </c>
      <c r="K35" s="6">
        <v>43780</v>
      </c>
      <c r="L35" s="7" t="str">
        <f>"000127"</f>
        <v>000127</v>
      </c>
      <c r="M35" s="6">
        <v>43780</v>
      </c>
      <c r="N35" s="7">
        <v>16</v>
      </c>
      <c r="O35" s="7" t="str">
        <f>"006352"</f>
        <v>006352</v>
      </c>
      <c r="P35" s="6">
        <v>43791</v>
      </c>
      <c r="Q35" s="9">
        <v>5.7889999999999997</v>
      </c>
      <c r="R35" s="9">
        <v>0.86216000000000004</v>
      </c>
      <c r="S35" s="9">
        <v>4.9268400000000003</v>
      </c>
      <c r="T35" s="7">
        <v>13</v>
      </c>
      <c r="U35" s="6">
        <v>43795</v>
      </c>
      <c r="V35" s="7">
        <v>9845036857</v>
      </c>
      <c r="W35" s="8" t="s">
        <v>56</v>
      </c>
      <c r="X35" s="7" t="s">
        <v>38</v>
      </c>
      <c r="Y35" s="8" t="s">
        <v>37</v>
      </c>
      <c r="Z35" s="7" t="s">
        <v>35</v>
      </c>
      <c r="AA35" s="8" t="s">
        <v>36</v>
      </c>
      <c r="AB35" s="9">
        <v>5.7889999999999997E-2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2020-01-30T06:27:53Z</dcterms:modified>
</cp:coreProperties>
</file>