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6" i="1" l="1"/>
  <c r="L46" i="1"/>
  <c r="J46" i="1"/>
  <c r="H46" i="1"/>
  <c r="O45" i="1"/>
  <c r="L45" i="1"/>
  <c r="J45" i="1"/>
  <c r="H45" i="1"/>
  <c r="O44" i="1"/>
  <c r="L44" i="1"/>
  <c r="J44" i="1"/>
  <c r="H44" i="1"/>
  <c r="O43" i="1"/>
  <c r="L43" i="1"/>
  <c r="J43" i="1"/>
  <c r="H43" i="1"/>
  <c r="O42" i="1"/>
  <c r="L42" i="1"/>
  <c r="J42" i="1"/>
  <c r="H42" i="1"/>
  <c r="O41" i="1"/>
  <c r="L41" i="1"/>
  <c r="J41" i="1"/>
  <c r="H41" i="1"/>
  <c r="O40" i="1"/>
  <c r="L40" i="1"/>
  <c r="J40" i="1"/>
  <c r="H40" i="1"/>
  <c r="AB39" i="1"/>
  <c r="O39" i="1"/>
  <c r="L39" i="1"/>
  <c r="J39" i="1"/>
  <c r="H39" i="1"/>
  <c r="AB38" i="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O24" i="1"/>
  <c r="L24" i="1"/>
  <c r="J24" i="1"/>
  <c r="H24" i="1"/>
  <c r="O23" i="1"/>
  <c r="L23" i="1"/>
  <c r="J23" i="1"/>
  <c r="H23" i="1"/>
  <c r="O22" i="1"/>
  <c r="L22" i="1"/>
  <c r="J22" i="1"/>
  <c r="H22" i="1"/>
  <c r="O21" i="1"/>
  <c r="L21" i="1"/>
  <c r="J21" i="1"/>
  <c r="H21" i="1"/>
  <c r="O20" i="1"/>
  <c r="L20" i="1"/>
  <c r="J20" i="1"/>
  <c r="H20" i="1"/>
  <c r="O19" i="1"/>
  <c r="L19" i="1"/>
  <c r="J19" i="1"/>
  <c r="H19"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<sst xmlns="http://schemas.openxmlformats.org/spreadsheetml/2006/main" count="433" uniqueCount="168">
  <si>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</si>
  <si>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</si>
  <si>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</si>
  <si>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</si>
  <si>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</si>
  <si>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</si>
  <si>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</si>
  <si>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</si>
  <si>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</si>
  <si>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</si>
  <si>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</si>
  <si>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</si>
  <si>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</si>
  <si>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</si>
  <si>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</si>
  <si>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</si>
  <si>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</si>
  <si>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</si>
  <si>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</si>
  <si>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</si>
  <si>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</si>
  <si>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</si>
  <si>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</si>
  <si>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</si>
  <si>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</si>
  <si>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</si>
  <si>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</si>
  <si>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</si>
  <si>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</si>
  <si>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</si>
  <si>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</si>
  <si>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P3158</t>
  </si>
  <si>
    <t>SIP Infrastructure Project works</t>
  </si>
  <si>
    <t>June</t>
  </si>
  <si>
    <t>P1771</t>
  </si>
  <si>
    <t>Zone Works - POW Works</t>
  </si>
  <si>
    <t>May</t>
  </si>
  <si>
    <t>18per - Works (Bhagyajyothi, Sooru / Neeru Yojane and General) (54 Lakhs / New Wards)</t>
  </si>
  <si>
    <t>P1878</t>
  </si>
  <si>
    <t>P3106</t>
  </si>
  <si>
    <t>Nagarothana Works</t>
  </si>
  <si>
    <t>P3296</t>
  </si>
  <si>
    <t>14th Finance Commission Works - Road and Footpath Maintenance</t>
  </si>
  <si>
    <t>KRIDL</t>
  </si>
  <si>
    <t>Shetti Halli</t>
  </si>
  <si>
    <t>012-16-000004</t>
  </si>
  <si>
    <t>Maintenance of UGD in ward no. 12 Shettyhalli sub division.</t>
  </si>
  <si>
    <t>MAHENDRA ENGINEERING WORKS</t>
  </si>
  <si>
    <t>ddo462</t>
  </si>
  <si>
    <t xml:space="preserve"> Assistant Executive Engineer Shettihalli Dasarahalli Zone</t>
  </si>
  <si>
    <t>012-16-000001</t>
  </si>
  <si>
    <t>Operation and Maintenance of stree light at Ward No.12 Shettyhalli, Kammagondanahalli surrounding Area Package D-1 of Dasarahalli Zone</t>
  </si>
  <si>
    <t>M/s VIJAYA LAKSHMI ASSOCIATES</t>
  </si>
  <si>
    <t>ddo466</t>
  </si>
  <si>
    <t xml:space="preserve"> Assistant Executive Engineer Electrical Dasarahalli Zone</t>
  </si>
  <si>
    <t>012-16-000002</t>
  </si>
  <si>
    <t>Operation and Maintenance of stree light at Ward No.12 Shettyhalli, Sheetyhalli surrounding Area Package D-2 of Dasarahalli Zone</t>
  </si>
  <si>
    <t>M/s VIJAYA LAKSHMI ASSOCITES</t>
  </si>
  <si>
    <t>012-18-000050</t>
  </si>
  <si>
    <t>Improvements to roads and drains at Babanna Layout colony roads in ward no 12 Shettyhalli in shettyhalli sub division</t>
  </si>
  <si>
    <t>012-18-000051</t>
  </si>
  <si>
    <t>Improvements to roads and drains at Kammagondanahalli colony and Jarkebandekaval slum Balance roads in ward no 12 Shettyhalli in shettyhalli sub division</t>
  </si>
  <si>
    <t>Operation and Maintenance of stree light at Ward No.12 Shettyhalli, Kammagondanahalli surrounding Area Package  D-1 of Dasarahalli Zone</t>
  </si>
  <si>
    <t>Operation and Maintenance of stree light at Ward No.12 Shettyhalli, Sheetyhalli surrounding Area Package  D-2 of Dasarahalli Zone</t>
  </si>
  <si>
    <t>012-18-000033</t>
  </si>
  <si>
    <t>Improvements to footpath and drain in   ward no 12 Shettyhalli</t>
  </si>
  <si>
    <t>012-17-000033</t>
  </si>
  <si>
    <t>Improvements to road and drain at Veeranjinappa layout abbigere in ward no 12 SSD.</t>
  </si>
  <si>
    <t>012-17-000029</t>
  </si>
  <si>
    <t>Improvements to road and drain at AYR Layout Byraveshwaranagara in ward no 12 SSD</t>
  </si>
  <si>
    <t>012-18-000057</t>
  </si>
  <si>
    <t xml:space="preserve">Improvements to roads and drains at MNT Collage opposite area roads of K G hally in ward No12 in Shettyhalli Sub division </t>
  </si>
  <si>
    <t>R.Shivaram</t>
  </si>
  <si>
    <t>012-18-000058</t>
  </si>
  <si>
    <t xml:space="preserve">Improvements to roads and drains at Raghavendra Layout main and cross roads in Ward No 12 in Shettyhalli Sub division </t>
  </si>
  <si>
    <t>012-18-000059</t>
  </si>
  <si>
    <t xml:space="preserve">Improvements to roads and drains at Kaivarnarayan swami temple surrounding area K G hally in Ward No 12 in Shettyhalli sub division </t>
  </si>
  <si>
    <t>012-18-000060</t>
  </si>
  <si>
    <t xml:space="preserve">Improvements to roads and drains at Shanimahatama Temple Back side area K G Hally in Ward No12 in Shettyhalli Sub division </t>
  </si>
  <si>
    <t>012-17-000039</t>
  </si>
  <si>
    <t xml:space="preserve">Improvements to road and drain at Chikkasandra village in ward no 12 Shettyhalli Sub Division </t>
  </si>
  <si>
    <t>012-17-000015</t>
  </si>
  <si>
    <t>Contructon of RCC Drain at Vani Convent road Chikkasandra In ward no 12 Shettyhalli Sub division</t>
  </si>
  <si>
    <t>SHIVANANDA N</t>
  </si>
  <si>
    <t>012-18-000056</t>
  </si>
  <si>
    <t xml:space="preserve">Construction of path way and other works at Indira Canteen at Abbigere in ward no.12 Shettyhalli sub division </t>
  </si>
  <si>
    <t>M/s Inchara Construction</t>
  </si>
  <si>
    <t>012-18-000054</t>
  </si>
  <si>
    <t>Construction of compound wall and other works at Indira Canteen at Abbigere in ward no.12 Shettyhalli sub division</t>
  </si>
  <si>
    <t>012-18-000055</t>
  </si>
  <si>
    <t>Providing Sanitary line and other works at Indira Canteen at Abbigere in ward no.12 Shettyhalli sub division</t>
  </si>
  <si>
    <t>Mahendra Engineering Works</t>
  </si>
  <si>
    <t>July</t>
  </si>
  <si>
    <t>012-18-000052</t>
  </si>
  <si>
    <t>Improvements to roads and drains ofShettyhalli Colony Balance cross roads in ward no 12 Shettyhalli in shettyhalli sub division</t>
  </si>
  <si>
    <t>012-18-000049</t>
  </si>
  <si>
    <t>Providing and fixing LED Street lights and control switche etc., in Chikkasandra Geleyara balaga surrounding area in ward no 12 Shettyhalli</t>
  </si>
  <si>
    <t>THE TECHNICAL MANAGER-2(BBMP) KRIDL</t>
  </si>
  <si>
    <t>P0190</t>
  </si>
  <si>
    <t>Works sanctioned by Hon Mayor</t>
  </si>
  <si>
    <t>012-18-000048</t>
  </si>
  <si>
    <t>Providing and fixing LED Street lightsand control switche etc., in Shettyhalli surrounding area in ward no 12 Shettyhalli</t>
  </si>
  <si>
    <t>M/s THE TECHNICAL MANAGER -2(BBMP) KRIDL</t>
  </si>
  <si>
    <t>012-18-000046</t>
  </si>
  <si>
    <t>Providing and fixing LED Street lightsand control switche etc., in Kammagondanahalli surrounding area in ward no 12 Shettyhalli</t>
  </si>
  <si>
    <t>THE TECHNICAL MANGAGER -2(BBMP) KRIDL</t>
  </si>
  <si>
    <t>012-18-000047</t>
  </si>
  <si>
    <t>Providing and fixing LED Street lights and control switche etc., in Abbigere surrounding area in ward no 12 Shettyhalli</t>
  </si>
  <si>
    <t>M/s TECHNICAL MANAGER -2(BBMP) KRIDL</t>
  </si>
  <si>
    <t>012-18-000030</t>
  </si>
  <si>
    <t>Extension of pipeliness in missing bits and providing water supply in ward no 12 Shettyhalli</t>
  </si>
  <si>
    <t>P3293</t>
  </si>
  <si>
    <t>14th Finance Commission Works - Drinking Water</t>
  </si>
  <si>
    <t>012-14-000022</t>
  </si>
  <si>
    <t>Pot hole filling in ward no. 12, Shettyhalli sub division.</t>
  </si>
  <si>
    <t>P2019</t>
  </si>
  <si>
    <t>Major Road / Arterial / Sub Arterial Road Major Road Division</t>
  </si>
  <si>
    <t>August</t>
  </si>
  <si>
    <t>012-17-000042</t>
  </si>
  <si>
    <t>Maintance and repair to Electrical Installation in BBMP Buildings schools Maternity Homes Community hall Markets and Other Current work</t>
  </si>
  <si>
    <t>M/s Chethan Electricals</t>
  </si>
  <si>
    <t>P0294</t>
  </si>
  <si>
    <t>M and R to Electrical Inst in BMP Buildings, Schools, M.Homes, Community Halls, Markets and Others</t>
  </si>
  <si>
    <t>September</t>
  </si>
  <si>
    <t>012-17-000018</t>
  </si>
  <si>
    <t>Improvements to road and drain at Jarakabande kaval Slum in ward no 12 Shettyhalli Sub division</t>
  </si>
  <si>
    <t>Shivananda N</t>
  </si>
  <si>
    <t>012-18-000034</t>
  </si>
  <si>
    <t>Improvements to storm water drain in ward no 12 Shettyhalli</t>
  </si>
  <si>
    <t>P3297</t>
  </si>
  <si>
    <t>14th Finance Commission Grants - SWD Works</t>
  </si>
  <si>
    <t>012-17-000021</t>
  </si>
  <si>
    <t>Removal of silt using tractor and labour in ward no 12 Shettyhalli Sub division</t>
  </si>
  <si>
    <t>M/s INCHARA CONSTRUCTUONS</t>
  </si>
  <si>
    <t>012-18-000053</t>
  </si>
  <si>
    <t>Providing and fixing of Street light fittings Timers Control Wires etc In ward no 12 and 13 Village areas in Dasarahalli Assebmly Constituency.</t>
  </si>
  <si>
    <t>THE TECHNICAL MANAGER (BBMP) KRIDL</t>
  </si>
  <si>
    <t>P3255</t>
  </si>
  <si>
    <t>Providing Additional Electrical Fittings at New zonesand110 Villages ( Rs.60.00 Lakhs each zone)</t>
  </si>
  <si>
    <t>012-19-000002</t>
  </si>
  <si>
    <t>Consultancy services for preparation of DPR including survey designs drawings estimate and tender documents preparation Etc.1.Improvements to roads and drains at Shettyhalli Surrounding areas at Shettyhalli, ward no.12 in Project division; 2. Improvements to roads and drains at Shettyhalli Surrounding areas at Shettyhalli, Stage-01 ward no.12.; 3. Improvements to roads and drains at Shettyhalli Surrounding area ward no.12.</t>
  </si>
  <si>
    <t>M/s Newzen Consultants Bangalore</t>
  </si>
  <si>
    <t>P3409</t>
  </si>
  <si>
    <t>SFC Untied SC-SP/TSP Grant works</t>
  </si>
  <si>
    <t>ddo464</t>
  </si>
  <si>
    <t xml:space="preserve"> Assistant Executive Engineer Project - 1 Dasarahalli Zone</t>
  </si>
  <si>
    <t>October</t>
  </si>
  <si>
    <t>012-19-000063</t>
  </si>
  <si>
    <t>Restoration of road cut portion done by BWSSB in Abbigere Village F Bus Stop surrounding area in ward no 12 Shettyhalli Sub Division</t>
  </si>
  <si>
    <t>M.Yogesh (Professional global infrastructures Pvt.Ltd</t>
  </si>
  <si>
    <t>P0613</t>
  </si>
  <si>
    <t>Redoing of Road cut Portions (Deposit Contributions)</t>
  </si>
  <si>
    <t>012-19-000065</t>
  </si>
  <si>
    <t>Restoration of road cut portion done by BWSSB in Medarahalli Village RR College surrounding area in ward no 12 Shettyhalli Sub Division</t>
  </si>
  <si>
    <t>M.Yogesh(Professional Global Infrastructure Pvt.Ltd</t>
  </si>
  <si>
    <t>012-19-000066</t>
  </si>
  <si>
    <t>Restoration of road cut portion done by BWSSB in Shettyhalli Village surrounding area in ward no 12 Shettyhalli Sub Division</t>
  </si>
  <si>
    <t>M.Yogesh (Professional Global Infrastructure Pvt.Ltd</t>
  </si>
  <si>
    <t>012-18-000035</t>
  </si>
  <si>
    <t>Construction of compound wall and toilets in ward no 12 Shettyhalli</t>
  </si>
  <si>
    <t>P3298</t>
  </si>
  <si>
    <t>14th Finance Commission Works - SWM Works</t>
  </si>
  <si>
    <t>012-19-000021</t>
  </si>
  <si>
    <t>Drillilng of Bore wells and Providing Pump motor in Abbigere Chikkasandra village and surrounding area in ward no 12 Shettyhalli Sub Division</t>
  </si>
  <si>
    <t xml:space="preserve">M/S Inchra Construction </t>
  </si>
  <si>
    <t>December</t>
  </si>
  <si>
    <t>012-18-000021</t>
  </si>
  <si>
    <t>Drilling of borewells and Providing pump motor at Shettyhalli and Abbigere Villages and Surrounding area in ward no 12 Shettyhalli Sub Division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</si>
</sst>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6"/>
  <sheetViews>
    <sheetView tabSelected="1" workbookViewId="0">
      <selection activeCell="F3" sqref="F3"/>
    </sheetView>
  </sheetViews>
  <sheetFormatPr defaultRowHeight="14.5" x14ac:dyDescent="0.35"/>
  <cols>
    <col min="1" max="1" width="5" bestFit="1" customWidth="1"/>
    <col min="2" max="2" width="6.26953125" bestFit="1" customWidth="1"/>
    <col min="3" max="3" width="8.6328125" bestFit="1" customWidth="1"/>
    <col min="4" max="4" width="8.08984375" bestFit="1" customWidth="1"/>
    <col min="5" max="5" width="10.36328125" bestFit="1" customWidth="1"/>
    <col min="6" max="6" width="12.0898437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476</v>
      </c>
      <c r="B2" s="6" t="s">
        <v>28</v>
      </c>
      <c r="C2" s="7">
        <v>43566</v>
      </c>
      <c r="D2" s="8">
        <v>12</v>
      </c>
      <c r="E2" s="9" t="s">
        <v>44</v>
      </c>
      <c r="F2" s="8" t="s">
        <v>45</v>
      </c>
      <c r="G2" s="9" t="s">
        <v>46</v>
      </c>
      <c r="H2" s="8" t="str">
        <f>"000034"</f>
        <v>000034</v>
      </c>
      <c r="I2" s="7">
        <v>42453</v>
      </c>
      <c r="J2" s="8" t="str">
        <f>"000056"</f>
        <v>000056</v>
      </c>
      <c r="K2" s="7">
        <v>42550</v>
      </c>
      <c r="L2" s="8" t="str">
        <f>"000204"</f>
        <v>000204</v>
      </c>
      <c r="M2" s="7">
        <v>42551</v>
      </c>
      <c r="N2" s="8">
        <v>16</v>
      </c>
      <c r="O2" s="8" t="str">
        <f>"010206"</f>
        <v>010206</v>
      </c>
      <c r="P2" s="7">
        <v>43161</v>
      </c>
      <c r="Q2" s="10">
        <v>0.75670000000000004</v>
      </c>
      <c r="R2" s="10">
        <v>5.2670000000000002E-2</v>
      </c>
      <c r="S2" s="10">
        <v>0.70403000000000004</v>
      </c>
      <c r="T2" s="8">
        <v>12</v>
      </c>
      <c r="U2" s="7">
        <v>43566</v>
      </c>
      <c r="V2" s="8">
        <v>9448203712</v>
      </c>
      <c r="W2" s="9" t="s">
        <v>47</v>
      </c>
      <c r="X2" s="8" t="s">
        <v>34</v>
      </c>
      <c r="Y2" s="9" t="s">
        <v>35</v>
      </c>
      <c r="Z2" s="8" t="s">
        <v>48</v>
      </c>
      <c r="AA2" s="9" t="s">
        <v>49</v>
      </c>
      <c r="AB2" s="10">
        <f t="shared" ref="AB2:AB17" si="0">Q2/100</f>
        <v>7.5670000000000008E-3</v>
      </c>
    </row>
    <row r="3" spans="1:28" s="4" customFormat="1" ht="13" x14ac:dyDescent="0.3">
      <c r="A3" s="5">
        <v>477</v>
      </c>
      <c r="B3" s="6" t="s">
        <v>28</v>
      </c>
      <c r="C3" s="7">
        <v>43567</v>
      </c>
      <c r="D3" s="8">
        <v>12</v>
      </c>
      <c r="E3" s="9" t="s">
        <v>44</v>
      </c>
      <c r="F3" s="8" t="s">
        <v>50</v>
      </c>
      <c r="G3" s="9" t="s">
        <v>51</v>
      </c>
      <c r="H3" s="8" t="str">
        <f>"00006A"</f>
        <v>00006A</v>
      </c>
      <c r="I3" s="7">
        <v>42697</v>
      </c>
      <c r="J3" s="8" t="str">
        <f>"000017"</f>
        <v>000017</v>
      </c>
      <c r="K3" s="7">
        <v>43106</v>
      </c>
      <c r="L3" s="8" t="str">
        <f>"000017"</f>
        <v>000017</v>
      </c>
      <c r="M3" s="7">
        <v>43106</v>
      </c>
      <c r="N3" s="8">
        <v>16</v>
      </c>
      <c r="O3" s="8" t="str">
        <f>"003741"</f>
        <v>003741</v>
      </c>
      <c r="P3" s="7">
        <v>43294</v>
      </c>
      <c r="Q3" s="10">
        <v>11.317209999999999</v>
      </c>
      <c r="R3" s="10">
        <v>1.2581100000000001</v>
      </c>
      <c r="S3" s="10">
        <v>10.059100000000001</v>
      </c>
      <c r="T3" s="8">
        <v>17</v>
      </c>
      <c r="U3" s="7">
        <v>43567</v>
      </c>
      <c r="V3" s="8">
        <v>9945535033</v>
      </c>
      <c r="W3" s="9" t="s">
        <v>52</v>
      </c>
      <c r="X3" s="8" t="s">
        <v>29</v>
      </c>
      <c r="Y3" s="9" t="s">
        <v>30</v>
      </c>
      <c r="Z3" s="8" t="s">
        <v>53</v>
      </c>
      <c r="AA3" s="9" t="s">
        <v>54</v>
      </c>
      <c r="AB3" s="10">
        <f t="shared" si="0"/>
        <v>0.1131721</v>
      </c>
    </row>
    <row r="4" spans="1:28" s="4" customFormat="1" ht="13" x14ac:dyDescent="0.3">
      <c r="A4" s="5">
        <v>478</v>
      </c>
      <c r="B4" s="6" t="s">
        <v>28</v>
      </c>
      <c r="C4" s="7">
        <v>43567</v>
      </c>
      <c r="D4" s="8">
        <v>12</v>
      </c>
      <c r="E4" s="9" t="s">
        <v>44</v>
      </c>
      <c r="F4" s="8" t="s">
        <v>55</v>
      </c>
      <c r="G4" s="9" t="s">
        <v>56</v>
      </c>
      <c r="H4" s="8" t="str">
        <f>"00007A"</f>
        <v>00007A</v>
      </c>
      <c r="I4" s="7">
        <v>42697</v>
      </c>
      <c r="J4" s="8" t="str">
        <f>"000022"</f>
        <v>000022</v>
      </c>
      <c r="K4" s="7">
        <v>42916</v>
      </c>
      <c r="L4" s="8" t="str">
        <f>"000023"</f>
        <v>000023</v>
      </c>
      <c r="M4" s="7">
        <v>42916</v>
      </c>
      <c r="N4" s="8">
        <v>16</v>
      </c>
      <c r="O4" s="8" t="str">
        <f>"004807"</f>
        <v>004807</v>
      </c>
      <c r="P4" s="7">
        <v>43315</v>
      </c>
      <c r="Q4" s="10">
        <v>11.21022</v>
      </c>
      <c r="R4" s="10">
        <v>1.2197199999999999</v>
      </c>
      <c r="S4" s="10">
        <v>9.9905000000000008</v>
      </c>
      <c r="T4" s="8">
        <v>17</v>
      </c>
      <c r="U4" s="7">
        <v>43567</v>
      </c>
      <c r="V4" s="8">
        <v>9946635033</v>
      </c>
      <c r="W4" s="9" t="s">
        <v>57</v>
      </c>
      <c r="X4" s="8" t="s">
        <v>29</v>
      </c>
      <c r="Y4" s="9" t="s">
        <v>30</v>
      </c>
      <c r="Z4" s="8" t="s">
        <v>53</v>
      </c>
      <c r="AA4" s="9" t="s">
        <v>54</v>
      </c>
      <c r="AB4" s="10">
        <f t="shared" si="0"/>
        <v>0.1121022</v>
      </c>
    </row>
    <row r="5" spans="1:28" s="4" customFormat="1" ht="13" x14ac:dyDescent="0.3">
      <c r="A5" s="5">
        <v>479</v>
      </c>
      <c r="B5" s="6" t="s">
        <v>28</v>
      </c>
      <c r="C5" s="7">
        <v>43575</v>
      </c>
      <c r="D5" s="8">
        <v>12</v>
      </c>
      <c r="E5" s="9" t="s">
        <v>44</v>
      </c>
      <c r="F5" s="8" t="s">
        <v>50</v>
      </c>
      <c r="G5" s="9" t="s">
        <v>51</v>
      </c>
      <c r="H5" s="8" t="str">
        <f>"00006A"</f>
        <v>00006A</v>
      </c>
      <c r="I5" s="7">
        <v>42697</v>
      </c>
      <c r="J5" s="8" t="str">
        <f>"000017"</f>
        <v>000017</v>
      </c>
      <c r="K5" s="7">
        <v>43106</v>
      </c>
      <c r="L5" s="8" t="str">
        <f>"000017"</f>
        <v>000017</v>
      </c>
      <c r="M5" s="7">
        <v>43106</v>
      </c>
      <c r="N5" s="8">
        <v>16</v>
      </c>
      <c r="O5" s="8" t="str">
        <f>"003741"</f>
        <v>003741</v>
      </c>
      <c r="P5" s="7">
        <v>43294</v>
      </c>
      <c r="Q5" s="10">
        <v>8.0837199999999996</v>
      </c>
      <c r="R5" s="10">
        <v>1.05582</v>
      </c>
      <c r="S5" s="10">
        <v>7.0278999999999998</v>
      </c>
      <c r="T5" s="8">
        <v>20</v>
      </c>
      <c r="U5" s="7">
        <v>43575</v>
      </c>
      <c r="V5" s="8">
        <v>9945535033</v>
      </c>
      <c r="W5" s="9" t="s">
        <v>52</v>
      </c>
      <c r="X5" s="8" t="s">
        <v>29</v>
      </c>
      <c r="Y5" s="9" t="s">
        <v>30</v>
      </c>
      <c r="Z5" s="8" t="s">
        <v>53</v>
      </c>
      <c r="AA5" s="9" t="s">
        <v>54</v>
      </c>
      <c r="AB5" s="10">
        <f t="shared" si="0"/>
        <v>8.0837199999999998E-2</v>
      </c>
    </row>
    <row r="6" spans="1:28" s="4" customFormat="1" ht="13" x14ac:dyDescent="0.3">
      <c r="A6" s="5">
        <v>480</v>
      </c>
      <c r="B6" s="6" t="s">
        <v>28</v>
      </c>
      <c r="C6" s="7">
        <v>43575</v>
      </c>
      <c r="D6" s="8">
        <v>12</v>
      </c>
      <c r="E6" s="9" t="s">
        <v>44</v>
      </c>
      <c r="F6" s="8" t="s">
        <v>55</v>
      </c>
      <c r="G6" s="9" t="s">
        <v>56</v>
      </c>
      <c r="H6" s="8" t="str">
        <f>"00007A"</f>
        <v>00007A</v>
      </c>
      <c r="I6" s="7">
        <v>42697</v>
      </c>
      <c r="J6" s="8" t="str">
        <f>"000022"</f>
        <v>000022</v>
      </c>
      <c r="K6" s="7">
        <v>42916</v>
      </c>
      <c r="L6" s="8" t="str">
        <f>"000023"</f>
        <v>000023</v>
      </c>
      <c r="M6" s="7">
        <v>42916</v>
      </c>
      <c r="N6" s="8">
        <v>16</v>
      </c>
      <c r="O6" s="8" t="str">
        <f>"004807"</f>
        <v>004807</v>
      </c>
      <c r="P6" s="7">
        <v>43315</v>
      </c>
      <c r="Q6" s="10">
        <v>8.0073000000000008</v>
      </c>
      <c r="R6" s="10">
        <v>1.0292300000000001</v>
      </c>
      <c r="S6" s="10">
        <v>6.9780699999999998</v>
      </c>
      <c r="T6" s="8">
        <v>20</v>
      </c>
      <c r="U6" s="7">
        <v>43575</v>
      </c>
      <c r="V6" s="8">
        <v>9946635033</v>
      </c>
      <c r="W6" s="9" t="s">
        <v>57</v>
      </c>
      <c r="X6" s="8" t="s">
        <v>29</v>
      </c>
      <c r="Y6" s="9" t="s">
        <v>30</v>
      </c>
      <c r="Z6" s="8" t="s">
        <v>53</v>
      </c>
      <c r="AA6" s="9" t="s">
        <v>54</v>
      </c>
      <c r="AB6" s="10">
        <f t="shared" si="0"/>
        <v>8.0073000000000005E-2</v>
      </c>
    </row>
    <row r="7" spans="1:28" s="4" customFormat="1" ht="13" x14ac:dyDescent="0.3">
      <c r="A7" s="5">
        <v>481</v>
      </c>
      <c r="B7" s="6" t="s">
        <v>36</v>
      </c>
      <c r="C7" s="7">
        <v>43588</v>
      </c>
      <c r="D7" s="8">
        <v>12</v>
      </c>
      <c r="E7" s="9" t="s">
        <v>44</v>
      </c>
      <c r="F7" s="8" t="s">
        <v>66</v>
      </c>
      <c r="G7" s="9" t="s">
        <v>67</v>
      </c>
      <c r="H7" s="8" t="str">
        <f>"000349"</f>
        <v>000349</v>
      </c>
      <c r="I7" s="7">
        <v>43185</v>
      </c>
      <c r="J7" s="8" t="str">
        <f>"000001"</f>
        <v>000001</v>
      </c>
      <c r="K7" s="7">
        <v>43563</v>
      </c>
      <c r="L7" s="8" t="str">
        <f>"000003"</f>
        <v>000003</v>
      </c>
      <c r="M7" s="7">
        <v>43563</v>
      </c>
      <c r="N7" s="8">
        <v>17</v>
      </c>
      <c r="O7" s="8" t="str">
        <f>"001147"</f>
        <v>001147</v>
      </c>
      <c r="P7" s="7">
        <v>43581</v>
      </c>
      <c r="Q7" s="10">
        <v>24.714279999999999</v>
      </c>
      <c r="R7" s="10">
        <v>2.6859899999999999</v>
      </c>
      <c r="S7" s="10">
        <v>22.028289999999998</v>
      </c>
      <c r="T7" s="8">
        <v>33</v>
      </c>
      <c r="U7" s="7">
        <v>43588</v>
      </c>
      <c r="V7" s="8">
        <v>9449219009</v>
      </c>
      <c r="W7" s="9" t="s">
        <v>43</v>
      </c>
      <c r="X7" s="8" t="s">
        <v>31</v>
      </c>
      <c r="Y7" s="9" t="s">
        <v>32</v>
      </c>
      <c r="Z7" s="8" t="s">
        <v>48</v>
      </c>
      <c r="AA7" s="9" t="s">
        <v>49</v>
      </c>
      <c r="AB7" s="10">
        <f t="shared" si="0"/>
        <v>0.2471428</v>
      </c>
    </row>
    <row r="8" spans="1:28" s="4" customFormat="1" ht="13" x14ac:dyDescent="0.3">
      <c r="A8" s="5">
        <v>482</v>
      </c>
      <c r="B8" s="6" t="s">
        <v>36</v>
      </c>
      <c r="C8" s="7">
        <v>43588</v>
      </c>
      <c r="D8" s="8">
        <v>12</v>
      </c>
      <c r="E8" s="9" t="s">
        <v>44</v>
      </c>
      <c r="F8" s="8" t="s">
        <v>68</v>
      </c>
      <c r="G8" s="9" t="s">
        <v>69</v>
      </c>
      <c r="H8" s="8" t="str">
        <f>"000352"</f>
        <v>000352</v>
      </c>
      <c r="I8" s="7">
        <v>43185</v>
      </c>
      <c r="J8" s="8" t="str">
        <f>"000003"</f>
        <v>000003</v>
      </c>
      <c r="K8" s="7">
        <v>43563</v>
      </c>
      <c r="L8" s="8" t="str">
        <f>"000005"</f>
        <v>000005</v>
      </c>
      <c r="M8" s="7">
        <v>43564</v>
      </c>
      <c r="N8" s="8">
        <v>17</v>
      </c>
      <c r="O8" s="8" t="str">
        <f>"001150"</f>
        <v>001150</v>
      </c>
      <c r="P8" s="7">
        <v>43581</v>
      </c>
      <c r="Q8" s="10">
        <v>49.50215</v>
      </c>
      <c r="R8" s="10">
        <v>5.3254999999999999</v>
      </c>
      <c r="S8" s="10">
        <v>44.176650000000002</v>
      </c>
      <c r="T8" s="8">
        <v>33</v>
      </c>
      <c r="U8" s="7">
        <v>43588</v>
      </c>
      <c r="V8" s="8">
        <v>9449219009</v>
      </c>
      <c r="W8" s="9" t="s">
        <v>43</v>
      </c>
      <c r="X8" s="8" t="s">
        <v>31</v>
      </c>
      <c r="Y8" s="9" t="s">
        <v>32</v>
      </c>
      <c r="Z8" s="8" t="s">
        <v>48</v>
      </c>
      <c r="AA8" s="9" t="s">
        <v>49</v>
      </c>
      <c r="AB8" s="10">
        <f t="shared" si="0"/>
        <v>0.4950215</v>
      </c>
    </row>
    <row r="9" spans="1:28" s="4" customFormat="1" ht="13" x14ac:dyDescent="0.3">
      <c r="A9" s="5">
        <v>483</v>
      </c>
      <c r="B9" s="6" t="s">
        <v>36</v>
      </c>
      <c r="C9" s="7">
        <v>43594</v>
      </c>
      <c r="D9" s="8">
        <v>12</v>
      </c>
      <c r="E9" s="9" t="s">
        <v>44</v>
      </c>
      <c r="F9" s="8" t="s">
        <v>70</v>
      </c>
      <c r="G9" s="9" t="s">
        <v>71</v>
      </c>
      <c r="H9" s="8" t="str">
        <f>"000275"</f>
        <v>000275</v>
      </c>
      <c r="I9" s="7">
        <v>43444</v>
      </c>
      <c r="J9" s="8" t="str">
        <f>"000007"</f>
        <v>000007</v>
      </c>
      <c r="K9" s="7">
        <v>43579</v>
      </c>
      <c r="L9" s="8" t="str">
        <f>"000010"</f>
        <v>000010</v>
      </c>
      <c r="M9" s="7">
        <v>43581</v>
      </c>
      <c r="N9" s="8">
        <v>18</v>
      </c>
      <c r="O9" s="8" t="str">
        <f>"001349"</f>
        <v>001349</v>
      </c>
      <c r="P9" s="7">
        <v>43593</v>
      </c>
      <c r="Q9" s="10">
        <v>98.787649999999999</v>
      </c>
      <c r="R9" s="10">
        <v>4.5064299999999999</v>
      </c>
      <c r="S9" s="10">
        <v>94.281220000000005</v>
      </c>
      <c r="T9" s="8">
        <v>40</v>
      </c>
      <c r="U9" s="7">
        <v>43594</v>
      </c>
      <c r="V9" s="8">
        <v>9036033962</v>
      </c>
      <c r="W9" s="9" t="s">
        <v>72</v>
      </c>
      <c r="X9" s="8" t="s">
        <v>31</v>
      </c>
      <c r="Y9" s="9" t="s">
        <v>32</v>
      </c>
      <c r="Z9" s="8" t="s">
        <v>48</v>
      </c>
      <c r="AA9" s="9" t="s">
        <v>49</v>
      </c>
      <c r="AB9" s="10">
        <f t="shared" si="0"/>
        <v>0.98787650000000005</v>
      </c>
    </row>
    <row r="10" spans="1:28" s="4" customFormat="1" ht="13" x14ac:dyDescent="0.3">
      <c r="A10" s="5">
        <v>484</v>
      </c>
      <c r="B10" s="6" t="s">
        <v>36</v>
      </c>
      <c r="C10" s="7">
        <v>43594</v>
      </c>
      <c r="D10" s="8">
        <v>12</v>
      </c>
      <c r="E10" s="9" t="s">
        <v>44</v>
      </c>
      <c r="F10" s="8" t="s">
        <v>73</v>
      </c>
      <c r="G10" s="9" t="s">
        <v>74</v>
      </c>
      <c r="H10" s="8" t="str">
        <f>"000276"</f>
        <v>000276</v>
      </c>
      <c r="I10" s="7">
        <v>43444</v>
      </c>
      <c r="J10" s="8" t="str">
        <f>"000009"</f>
        <v>000009</v>
      </c>
      <c r="K10" s="7">
        <v>43579</v>
      </c>
      <c r="L10" s="8" t="str">
        <f>"000011"</f>
        <v>000011</v>
      </c>
      <c r="M10" s="7">
        <v>43581</v>
      </c>
      <c r="N10" s="8">
        <v>18</v>
      </c>
      <c r="O10" s="8" t="str">
        <f>"001350"</f>
        <v>001350</v>
      </c>
      <c r="P10" s="7">
        <v>43593</v>
      </c>
      <c r="Q10" s="10">
        <v>98.82056</v>
      </c>
      <c r="R10" s="10">
        <v>4.4380899999999999</v>
      </c>
      <c r="S10" s="10">
        <v>94.382469999999998</v>
      </c>
      <c r="T10" s="8">
        <v>40</v>
      </c>
      <c r="U10" s="7">
        <v>43594</v>
      </c>
      <c r="V10" s="8">
        <v>9036033962</v>
      </c>
      <c r="W10" s="9" t="s">
        <v>72</v>
      </c>
      <c r="X10" s="8" t="s">
        <v>31</v>
      </c>
      <c r="Y10" s="9" t="s">
        <v>32</v>
      </c>
      <c r="Z10" s="8" t="s">
        <v>48</v>
      </c>
      <c r="AA10" s="9" t="s">
        <v>49</v>
      </c>
      <c r="AB10" s="10">
        <f t="shared" si="0"/>
        <v>0.98820560000000002</v>
      </c>
    </row>
    <row r="11" spans="1:28" s="4" customFormat="1" ht="13" x14ac:dyDescent="0.3">
      <c r="A11" s="5">
        <v>485</v>
      </c>
      <c r="B11" s="6" t="s">
        <v>36</v>
      </c>
      <c r="C11" s="7">
        <v>43594</v>
      </c>
      <c r="D11" s="8">
        <v>12</v>
      </c>
      <c r="E11" s="9" t="s">
        <v>44</v>
      </c>
      <c r="F11" s="8" t="s">
        <v>75</v>
      </c>
      <c r="G11" s="9" t="s">
        <v>76</v>
      </c>
      <c r="H11" s="8" t="str">
        <f>"000272"</f>
        <v>000272</v>
      </c>
      <c r="I11" s="7">
        <v>43444</v>
      </c>
      <c r="J11" s="8" t="str">
        <f>"000010"</f>
        <v>000010</v>
      </c>
      <c r="K11" s="7">
        <v>43579</v>
      </c>
      <c r="L11" s="8" t="str">
        <f>"000012"</f>
        <v>000012</v>
      </c>
      <c r="M11" s="7">
        <v>43581</v>
      </c>
      <c r="N11" s="8">
        <v>18</v>
      </c>
      <c r="O11" s="8" t="str">
        <f>"001351"</f>
        <v>001351</v>
      </c>
      <c r="P11" s="7">
        <v>43593</v>
      </c>
      <c r="Q11" s="10">
        <v>98.801659999999998</v>
      </c>
      <c r="R11" s="10">
        <v>4.4172900000000004</v>
      </c>
      <c r="S11" s="10">
        <v>94.384370000000004</v>
      </c>
      <c r="T11" s="8">
        <v>40</v>
      </c>
      <c r="U11" s="7">
        <v>43594</v>
      </c>
      <c r="V11" s="8">
        <v>9036033962</v>
      </c>
      <c r="W11" s="9" t="s">
        <v>72</v>
      </c>
      <c r="X11" s="8" t="s">
        <v>31</v>
      </c>
      <c r="Y11" s="9" t="s">
        <v>32</v>
      </c>
      <c r="Z11" s="8" t="s">
        <v>48</v>
      </c>
      <c r="AA11" s="9" t="s">
        <v>49</v>
      </c>
      <c r="AB11" s="10">
        <f t="shared" si="0"/>
        <v>0.98801660000000002</v>
      </c>
    </row>
    <row r="12" spans="1:28" s="4" customFormat="1" ht="13" x14ac:dyDescent="0.3">
      <c r="A12" s="5">
        <v>486</v>
      </c>
      <c r="B12" s="6" t="s">
        <v>36</v>
      </c>
      <c r="C12" s="7">
        <v>43594</v>
      </c>
      <c r="D12" s="8">
        <v>12</v>
      </c>
      <c r="E12" s="9" t="s">
        <v>44</v>
      </c>
      <c r="F12" s="8" t="s">
        <v>77</v>
      </c>
      <c r="G12" s="9" t="s">
        <v>78</v>
      </c>
      <c r="H12" s="8" t="str">
        <f>"000274"</f>
        <v>000274</v>
      </c>
      <c r="I12" s="7">
        <v>43444</v>
      </c>
      <c r="J12" s="8" t="str">
        <f>"000008"</f>
        <v>000008</v>
      </c>
      <c r="K12" s="7">
        <v>43579</v>
      </c>
      <c r="L12" s="8" t="str">
        <f>"000013"</f>
        <v>000013</v>
      </c>
      <c r="M12" s="7">
        <v>43581</v>
      </c>
      <c r="N12" s="8">
        <v>18</v>
      </c>
      <c r="O12" s="8" t="str">
        <f>"001352"</f>
        <v>001352</v>
      </c>
      <c r="P12" s="7">
        <v>43593</v>
      </c>
      <c r="Q12" s="10">
        <v>98.808499999999995</v>
      </c>
      <c r="R12" s="10">
        <v>4.4375499999999999</v>
      </c>
      <c r="S12" s="10">
        <v>94.370949999999993</v>
      </c>
      <c r="T12" s="8">
        <v>40</v>
      </c>
      <c r="U12" s="7">
        <v>43594</v>
      </c>
      <c r="V12" s="8">
        <v>9036033962</v>
      </c>
      <c r="W12" s="9" t="s">
        <v>72</v>
      </c>
      <c r="X12" s="8" t="s">
        <v>31</v>
      </c>
      <c r="Y12" s="9" t="s">
        <v>32</v>
      </c>
      <c r="Z12" s="8" t="s">
        <v>48</v>
      </c>
      <c r="AA12" s="9" t="s">
        <v>49</v>
      </c>
      <c r="AB12" s="10">
        <f t="shared" si="0"/>
        <v>0.98808499999999999</v>
      </c>
    </row>
    <row r="13" spans="1:28" s="4" customFormat="1" ht="13" x14ac:dyDescent="0.3">
      <c r="A13" s="5">
        <v>487</v>
      </c>
      <c r="B13" s="6" t="s">
        <v>36</v>
      </c>
      <c r="C13" s="7">
        <v>43601</v>
      </c>
      <c r="D13" s="8">
        <v>12</v>
      </c>
      <c r="E13" s="9" t="s">
        <v>44</v>
      </c>
      <c r="F13" s="8" t="s">
        <v>79</v>
      </c>
      <c r="G13" s="9" t="s">
        <v>80</v>
      </c>
      <c r="H13" s="8" t="str">
        <f>"000354"</f>
        <v>000354</v>
      </c>
      <c r="I13" s="7">
        <v>43185</v>
      </c>
      <c r="J13" s="8" t="str">
        <f>"000002"</f>
        <v>000002</v>
      </c>
      <c r="K13" s="7">
        <v>43563</v>
      </c>
      <c r="L13" s="8" t="str">
        <f>"000002"</f>
        <v>000002</v>
      </c>
      <c r="M13" s="7">
        <v>43563</v>
      </c>
      <c r="N13" s="8">
        <v>17</v>
      </c>
      <c r="O13" s="8" t="str">
        <f>"001616"</f>
        <v>001616</v>
      </c>
      <c r="P13" s="7">
        <v>43600</v>
      </c>
      <c r="Q13" s="10">
        <v>24.731030000000001</v>
      </c>
      <c r="R13" s="10">
        <v>2.62331</v>
      </c>
      <c r="S13" s="10">
        <v>22.10772</v>
      </c>
      <c r="T13" s="8">
        <v>47</v>
      </c>
      <c r="U13" s="7">
        <v>43601</v>
      </c>
      <c r="V13" s="8">
        <v>9449219002</v>
      </c>
      <c r="W13" s="9" t="s">
        <v>43</v>
      </c>
      <c r="X13" s="8" t="s">
        <v>31</v>
      </c>
      <c r="Y13" s="9" t="s">
        <v>32</v>
      </c>
      <c r="Z13" s="8" t="s">
        <v>48</v>
      </c>
      <c r="AA13" s="9" t="s">
        <v>49</v>
      </c>
      <c r="AB13" s="10">
        <f t="shared" si="0"/>
        <v>0.24731030000000001</v>
      </c>
    </row>
    <row r="14" spans="1:28" s="4" customFormat="1" ht="13" x14ac:dyDescent="0.3">
      <c r="A14" s="5">
        <v>488</v>
      </c>
      <c r="B14" s="6" t="s">
        <v>36</v>
      </c>
      <c r="C14" s="7">
        <v>43602</v>
      </c>
      <c r="D14" s="8">
        <v>12</v>
      </c>
      <c r="E14" s="9" t="s">
        <v>44</v>
      </c>
      <c r="F14" s="8" t="s">
        <v>81</v>
      </c>
      <c r="G14" s="9" t="s">
        <v>82</v>
      </c>
      <c r="H14" s="8" t="str">
        <f>"000111"</f>
        <v>000111</v>
      </c>
      <c r="I14" s="7">
        <v>42907</v>
      </c>
      <c r="J14" s="8" t="str">
        <f>"000002"</f>
        <v>000002</v>
      </c>
      <c r="K14" s="7">
        <v>42986</v>
      </c>
      <c r="L14" s="8" t="str">
        <f>"000006"</f>
        <v>000006</v>
      </c>
      <c r="M14" s="7">
        <v>42990</v>
      </c>
      <c r="N14" s="8">
        <v>17</v>
      </c>
      <c r="O14" s="8" t="str">
        <f>"001534"</f>
        <v>001534</v>
      </c>
      <c r="P14" s="7">
        <v>43599</v>
      </c>
      <c r="Q14" s="10">
        <v>41.977110000000003</v>
      </c>
      <c r="R14" s="10">
        <v>1.4062300000000001</v>
      </c>
      <c r="S14" s="10">
        <v>40.570880000000002</v>
      </c>
      <c r="T14" s="8">
        <v>49</v>
      </c>
      <c r="U14" s="7">
        <v>43602</v>
      </c>
      <c r="V14" s="8">
        <v>9901829745</v>
      </c>
      <c r="W14" s="9" t="s">
        <v>83</v>
      </c>
      <c r="X14" s="8" t="s">
        <v>34</v>
      </c>
      <c r="Y14" s="9" t="s">
        <v>35</v>
      </c>
      <c r="Z14" s="8" t="s">
        <v>48</v>
      </c>
      <c r="AA14" s="9" t="s">
        <v>49</v>
      </c>
      <c r="AB14" s="10">
        <f t="shared" si="0"/>
        <v>0.41977110000000001</v>
      </c>
    </row>
    <row r="15" spans="1:28" s="4" customFormat="1" ht="13" x14ac:dyDescent="0.3">
      <c r="A15" s="5">
        <v>489</v>
      </c>
      <c r="B15" s="6" t="s">
        <v>36</v>
      </c>
      <c r="C15" s="7">
        <v>43607</v>
      </c>
      <c r="D15" s="8">
        <v>12</v>
      </c>
      <c r="E15" s="9" t="s">
        <v>44</v>
      </c>
      <c r="F15" s="8" t="s">
        <v>84</v>
      </c>
      <c r="G15" s="9" t="s">
        <v>85</v>
      </c>
      <c r="H15" s="8" t="str">
        <f>"000293"</f>
        <v>000293</v>
      </c>
      <c r="I15" s="7">
        <v>43476</v>
      </c>
      <c r="J15" s="8" t="str">
        <f>"000077"</f>
        <v>000077</v>
      </c>
      <c r="K15" s="7">
        <v>43484</v>
      </c>
      <c r="L15" s="8" t="str">
        <f>"000300"</f>
        <v>000300</v>
      </c>
      <c r="M15" s="7">
        <v>43493</v>
      </c>
      <c r="N15" s="8">
        <v>18</v>
      </c>
      <c r="O15" s="8" t="str">
        <f>"001464"</f>
        <v>001464</v>
      </c>
      <c r="P15" s="7">
        <v>43598</v>
      </c>
      <c r="Q15" s="10">
        <v>4.4732000000000003</v>
      </c>
      <c r="R15" s="10">
        <v>0.182</v>
      </c>
      <c r="S15" s="10">
        <v>4.2911999999999999</v>
      </c>
      <c r="T15" s="8">
        <v>56</v>
      </c>
      <c r="U15" s="7">
        <v>43607</v>
      </c>
      <c r="V15" s="8">
        <v>9972045970</v>
      </c>
      <c r="W15" s="9" t="s">
        <v>86</v>
      </c>
      <c r="X15" s="8" t="s">
        <v>39</v>
      </c>
      <c r="Y15" s="9" t="s">
        <v>40</v>
      </c>
      <c r="Z15" s="8" t="s">
        <v>48</v>
      </c>
      <c r="AA15" s="9" t="s">
        <v>49</v>
      </c>
      <c r="AB15" s="10">
        <f t="shared" si="0"/>
        <v>4.4732000000000001E-2</v>
      </c>
    </row>
    <row r="16" spans="1:28" s="4" customFormat="1" ht="13" x14ac:dyDescent="0.3">
      <c r="A16" s="5">
        <v>490</v>
      </c>
      <c r="B16" s="6" t="s">
        <v>36</v>
      </c>
      <c r="C16" s="7">
        <v>43607</v>
      </c>
      <c r="D16" s="8">
        <v>12</v>
      </c>
      <c r="E16" s="9" t="s">
        <v>44</v>
      </c>
      <c r="F16" s="8" t="s">
        <v>87</v>
      </c>
      <c r="G16" s="9" t="s">
        <v>88</v>
      </c>
      <c r="H16" s="8" t="str">
        <f>"000291"</f>
        <v>000291</v>
      </c>
      <c r="I16" s="7">
        <v>43476</v>
      </c>
      <c r="J16" s="8" t="str">
        <f>"000076"</f>
        <v>000076</v>
      </c>
      <c r="K16" s="7">
        <v>43484</v>
      </c>
      <c r="L16" s="8" t="str">
        <f>"000299"</f>
        <v>000299</v>
      </c>
      <c r="M16" s="7">
        <v>43493</v>
      </c>
      <c r="N16" s="8">
        <v>18</v>
      </c>
      <c r="O16" s="8" t="str">
        <f>"001599"</f>
        <v>001599</v>
      </c>
      <c r="P16" s="7">
        <v>43600</v>
      </c>
      <c r="Q16" s="10">
        <v>4.7715899999999998</v>
      </c>
      <c r="R16" s="10">
        <v>0.20659</v>
      </c>
      <c r="S16" s="10">
        <v>4.5650000000000004</v>
      </c>
      <c r="T16" s="8">
        <v>56</v>
      </c>
      <c r="U16" s="7">
        <v>43607</v>
      </c>
      <c r="V16" s="8">
        <v>9972045970</v>
      </c>
      <c r="W16" s="9" t="s">
        <v>86</v>
      </c>
      <c r="X16" s="8" t="s">
        <v>39</v>
      </c>
      <c r="Y16" s="9" t="s">
        <v>40</v>
      </c>
      <c r="Z16" s="8" t="s">
        <v>48</v>
      </c>
      <c r="AA16" s="9" t="s">
        <v>49</v>
      </c>
      <c r="AB16" s="10">
        <f t="shared" si="0"/>
        <v>4.7715899999999999E-2</v>
      </c>
    </row>
    <row r="17" spans="1:28" s="4" customFormat="1" ht="13" x14ac:dyDescent="0.3">
      <c r="A17" s="5">
        <v>491</v>
      </c>
      <c r="B17" s="6" t="s">
        <v>36</v>
      </c>
      <c r="C17" s="7">
        <v>43607</v>
      </c>
      <c r="D17" s="8">
        <v>12</v>
      </c>
      <c r="E17" s="9" t="s">
        <v>44</v>
      </c>
      <c r="F17" s="8" t="s">
        <v>89</v>
      </c>
      <c r="G17" s="9" t="s">
        <v>90</v>
      </c>
      <c r="H17" s="8" t="str">
        <f>"000292"</f>
        <v>000292</v>
      </c>
      <c r="I17" s="7">
        <v>43476</v>
      </c>
      <c r="J17" s="8" t="str">
        <f>"000078"</f>
        <v>000078</v>
      </c>
      <c r="K17" s="7">
        <v>43484</v>
      </c>
      <c r="L17" s="8" t="str">
        <f>"000301"</f>
        <v>000301</v>
      </c>
      <c r="M17" s="7">
        <v>43494</v>
      </c>
      <c r="N17" s="8">
        <v>18</v>
      </c>
      <c r="O17" s="8" t="str">
        <f>"001603"</f>
        <v>001603</v>
      </c>
      <c r="P17" s="7">
        <v>43600</v>
      </c>
      <c r="Q17" s="10">
        <v>3.4770500000000002</v>
      </c>
      <c r="R17" s="10">
        <v>0.14032</v>
      </c>
      <c r="S17" s="10">
        <v>3.3367300000000002</v>
      </c>
      <c r="T17" s="8">
        <v>56</v>
      </c>
      <c r="U17" s="7">
        <v>43607</v>
      </c>
      <c r="V17" s="8">
        <v>9972045970</v>
      </c>
      <c r="W17" s="9" t="s">
        <v>91</v>
      </c>
      <c r="X17" s="8" t="s">
        <v>39</v>
      </c>
      <c r="Y17" s="9" t="s">
        <v>40</v>
      </c>
      <c r="Z17" s="8" t="s">
        <v>48</v>
      </c>
      <c r="AA17" s="9" t="s">
        <v>49</v>
      </c>
      <c r="AB17" s="10">
        <f t="shared" si="0"/>
        <v>3.4770500000000003E-2</v>
      </c>
    </row>
    <row r="18" spans="1:28" s="4" customFormat="1" ht="13" x14ac:dyDescent="0.3">
      <c r="A18" s="5">
        <v>492</v>
      </c>
      <c r="B18" s="6" t="s">
        <v>33</v>
      </c>
      <c r="C18" s="7">
        <v>43617</v>
      </c>
      <c r="D18" s="8">
        <v>12</v>
      </c>
      <c r="E18" s="9" t="s">
        <v>44</v>
      </c>
      <c r="F18" s="8" t="s">
        <v>58</v>
      </c>
      <c r="G18" s="9" t="s">
        <v>59</v>
      </c>
      <c r="H18" s="8" t="str">
        <f>"000324"</f>
        <v>000324</v>
      </c>
      <c r="I18" s="7">
        <v>43181</v>
      </c>
      <c r="J18" s="8" t="str">
        <f>"000081"</f>
        <v>000081</v>
      </c>
      <c r="K18" s="7">
        <v>43493</v>
      </c>
      <c r="L18" s="8" t="str">
        <f>"000309"</f>
        <v>000309</v>
      </c>
      <c r="M18" s="7">
        <v>43496</v>
      </c>
      <c r="N18" s="8">
        <v>18</v>
      </c>
      <c r="O18" s="8" t="str">
        <f>"001917"</f>
        <v>001917</v>
      </c>
      <c r="P18" s="7">
        <v>43607</v>
      </c>
      <c r="Q18" s="10">
        <v>49.981389999999998</v>
      </c>
      <c r="R18" s="10">
        <v>5.6136100000000004</v>
      </c>
      <c r="S18" s="10">
        <v>44.367780000000003</v>
      </c>
      <c r="T18" s="8">
        <v>67</v>
      </c>
      <c r="U18" s="7">
        <v>43617</v>
      </c>
      <c r="V18" s="8">
        <v>9449219009</v>
      </c>
      <c r="W18" s="9" t="s">
        <v>43</v>
      </c>
      <c r="X18" s="8" t="s">
        <v>38</v>
      </c>
      <c r="Y18" s="9" t="s">
        <v>37</v>
      </c>
      <c r="Z18" s="8" t="s">
        <v>48</v>
      </c>
      <c r="AA18" s="9" t="s">
        <v>49</v>
      </c>
      <c r="AB18" s="10">
        <v>0.49981389999999998</v>
      </c>
    </row>
    <row r="19" spans="1:28" s="4" customFormat="1" ht="13" x14ac:dyDescent="0.3">
      <c r="A19" s="5">
        <v>493</v>
      </c>
      <c r="B19" s="6" t="s">
        <v>33</v>
      </c>
      <c r="C19" s="7">
        <v>43617</v>
      </c>
      <c r="D19" s="8">
        <v>12</v>
      </c>
      <c r="E19" s="9" t="s">
        <v>44</v>
      </c>
      <c r="F19" s="8" t="s">
        <v>60</v>
      </c>
      <c r="G19" s="9" t="s">
        <v>61</v>
      </c>
      <c r="H19" s="8" t="str">
        <f>"000323"</f>
        <v>000323</v>
      </c>
      <c r="I19" s="7">
        <v>43181</v>
      </c>
      <c r="J19" s="8" t="str">
        <f>"000083"</f>
        <v>000083</v>
      </c>
      <c r="K19" s="7">
        <v>43496</v>
      </c>
      <c r="L19" s="8" t="str">
        <f>"000308"</f>
        <v>000308</v>
      </c>
      <c r="M19" s="7">
        <v>43496</v>
      </c>
      <c r="N19" s="8">
        <v>18</v>
      </c>
      <c r="O19" s="8" t="str">
        <f>"001918"</f>
        <v>001918</v>
      </c>
      <c r="P19" s="7">
        <v>43607</v>
      </c>
      <c r="Q19" s="10">
        <v>49.980049999999999</v>
      </c>
      <c r="R19" s="10">
        <v>5.93133</v>
      </c>
      <c r="S19" s="10">
        <v>44.048720000000003</v>
      </c>
      <c r="T19" s="8">
        <v>67</v>
      </c>
      <c r="U19" s="7">
        <v>43617</v>
      </c>
      <c r="V19" s="8">
        <v>9449219009</v>
      </c>
      <c r="W19" s="9" t="s">
        <v>43</v>
      </c>
      <c r="X19" s="8" t="s">
        <v>38</v>
      </c>
      <c r="Y19" s="9" t="s">
        <v>37</v>
      </c>
      <c r="Z19" s="8" t="s">
        <v>48</v>
      </c>
      <c r="AA19" s="9" t="s">
        <v>49</v>
      </c>
      <c r="AB19" s="10">
        <v>0.49980049999999998</v>
      </c>
    </row>
    <row r="20" spans="1:28" s="4" customFormat="1" ht="13" x14ac:dyDescent="0.3">
      <c r="A20" s="5">
        <v>494</v>
      </c>
      <c r="B20" s="6" t="s">
        <v>33</v>
      </c>
      <c r="C20" s="7">
        <v>43623</v>
      </c>
      <c r="D20" s="8">
        <v>12</v>
      </c>
      <c r="E20" s="9" t="s">
        <v>44</v>
      </c>
      <c r="F20" s="8" t="s">
        <v>50</v>
      </c>
      <c r="G20" s="9" t="s">
        <v>62</v>
      </c>
      <c r="H20" s="8" t="str">
        <f>"00006A"</f>
        <v>00006A</v>
      </c>
      <c r="I20" s="7">
        <v>42697</v>
      </c>
      <c r="J20" s="8" t="str">
        <f>"000017"</f>
        <v>000017</v>
      </c>
      <c r="K20" s="7">
        <v>43106</v>
      </c>
      <c r="L20" s="8" t="str">
        <f>"000017"</f>
        <v>000017</v>
      </c>
      <c r="M20" s="7">
        <v>43106</v>
      </c>
      <c r="N20" s="8">
        <v>16</v>
      </c>
      <c r="O20" s="8" t="str">
        <f>"003741"</f>
        <v>003741</v>
      </c>
      <c r="P20" s="7">
        <v>43294</v>
      </c>
      <c r="Q20" s="10">
        <v>3.2334900000000002</v>
      </c>
      <c r="R20" s="10">
        <v>0.47736000000000001</v>
      </c>
      <c r="S20" s="10">
        <v>2.7561300000000002</v>
      </c>
      <c r="T20" s="8">
        <v>73</v>
      </c>
      <c r="U20" s="7">
        <v>43623</v>
      </c>
      <c r="V20" s="8">
        <v>9945535033</v>
      </c>
      <c r="W20" s="9" t="s">
        <v>52</v>
      </c>
      <c r="X20" s="8" t="s">
        <v>29</v>
      </c>
      <c r="Y20" s="9" t="s">
        <v>30</v>
      </c>
      <c r="Z20" s="8" t="s">
        <v>53</v>
      </c>
      <c r="AA20" s="9" t="s">
        <v>54</v>
      </c>
      <c r="AB20" s="10">
        <v>3.23349E-2</v>
      </c>
    </row>
    <row r="21" spans="1:28" s="4" customFormat="1" ht="13" x14ac:dyDescent="0.3">
      <c r="A21" s="5">
        <v>495</v>
      </c>
      <c r="B21" s="6" t="s">
        <v>33</v>
      </c>
      <c r="C21" s="7">
        <v>43623</v>
      </c>
      <c r="D21" s="8">
        <v>12</v>
      </c>
      <c r="E21" s="9" t="s">
        <v>44</v>
      </c>
      <c r="F21" s="8" t="s">
        <v>55</v>
      </c>
      <c r="G21" s="9" t="s">
        <v>63</v>
      </c>
      <c r="H21" s="8" t="str">
        <f>"00007A"</f>
        <v>00007A</v>
      </c>
      <c r="I21" s="7">
        <v>42697</v>
      </c>
      <c r="J21" s="8" t="str">
        <f>"000022"</f>
        <v>000022</v>
      </c>
      <c r="K21" s="7">
        <v>42916</v>
      </c>
      <c r="L21" s="8" t="str">
        <f>"000023"</f>
        <v>000023</v>
      </c>
      <c r="M21" s="7">
        <v>42916</v>
      </c>
      <c r="N21" s="8">
        <v>16</v>
      </c>
      <c r="O21" s="8" t="str">
        <f>"004807"</f>
        <v>004807</v>
      </c>
      <c r="P21" s="7">
        <v>43315</v>
      </c>
      <c r="Q21" s="10">
        <v>3.2029200000000002</v>
      </c>
      <c r="R21" s="10">
        <v>0.50070000000000003</v>
      </c>
      <c r="S21" s="10">
        <v>2.7022200000000001</v>
      </c>
      <c r="T21" s="8">
        <v>73</v>
      </c>
      <c r="U21" s="7">
        <v>43623</v>
      </c>
      <c r="V21" s="8">
        <v>9946635033</v>
      </c>
      <c r="W21" s="9" t="s">
        <v>57</v>
      </c>
      <c r="X21" s="8" t="s">
        <v>29</v>
      </c>
      <c r="Y21" s="9" t="s">
        <v>30</v>
      </c>
      <c r="Z21" s="8" t="s">
        <v>53</v>
      </c>
      <c r="AA21" s="9" t="s">
        <v>54</v>
      </c>
      <c r="AB21" s="10">
        <v>3.2029200000000001E-2</v>
      </c>
    </row>
    <row r="22" spans="1:28" s="4" customFormat="1" ht="13" x14ac:dyDescent="0.3">
      <c r="A22" s="5">
        <v>496</v>
      </c>
      <c r="B22" s="6" t="s">
        <v>33</v>
      </c>
      <c r="C22" s="7">
        <v>43623</v>
      </c>
      <c r="D22" s="8">
        <v>12</v>
      </c>
      <c r="E22" s="9" t="s">
        <v>44</v>
      </c>
      <c r="F22" s="8" t="s">
        <v>55</v>
      </c>
      <c r="G22" s="9" t="s">
        <v>63</v>
      </c>
      <c r="H22" s="8" t="str">
        <f>"00007A"</f>
        <v>00007A</v>
      </c>
      <c r="I22" s="7">
        <v>42697</v>
      </c>
      <c r="J22" s="8" t="str">
        <f>"000022"</f>
        <v>000022</v>
      </c>
      <c r="K22" s="7">
        <v>42916</v>
      </c>
      <c r="L22" s="8" t="str">
        <f>"000023"</f>
        <v>000023</v>
      </c>
      <c r="M22" s="7">
        <v>42916</v>
      </c>
      <c r="N22" s="8">
        <v>16</v>
      </c>
      <c r="O22" s="8" t="str">
        <f>"004807"</f>
        <v>004807</v>
      </c>
      <c r="P22" s="7">
        <v>43315</v>
      </c>
      <c r="Q22" s="10">
        <v>4.8043800000000001</v>
      </c>
      <c r="R22" s="10">
        <v>0.63607999999999998</v>
      </c>
      <c r="S22" s="10">
        <v>4.1683000000000003</v>
      </c>
      <c r="T22" s="8">
        <v>73</v>
      </c>
      <c r="U22" s="7">
        <v>43623</v>
      </c>
      <c r="V22" s="8">
        <v>9946635033</v>
      </c>
      <c r="W22" s="9" t="s">
        <v>57</v>
      </c>
      <c r="X22" s="8" t="s">
        <v>29</v>
      </c>
      <c r="Y22" s="9" t="s">
        <v>30</v>
      </c>
      <c r="Z22" s="8" t="s">
        <v>53</v>
      </c>
      <c r="AA22" s="9" t="s">
        <v>54</v>
      </c>
      <c r="AB22" s="10">
        <v>4.8043799999999998E-2</v>
      </c>
    </row>
    <row r="23" spans="1:28" s="4" customFormat="1" ht="13" x14ac:dyDescent="0.3">
      <c r="A23" s="5">
        <v>497</v>
      </c>
      <c r="B23" s="6" t="s">
        <v>33</v>
      </c>
      <c r="C23" s="7">
        <v>43623</v>
      </c>
      <c r="D23" s="8">
        <v>12</v>
      </c>
      <c r="E23" s="9" t="s">
        <v>44</v>
      </c>
      <c r="F23" s="8" t="s">
        <v>50</v>
      </c>
      <c r="G23" s="9" t="s">
        <v>62</v>
      </c>
      <c r="H23" s="8" t="str">
        <f>"00006A"</f>
        <v>00006A</v>
      </c>
      <c r="I23" s="7">
        <v>42697</v>
      </c>
      <c r="J23" s="8" t="str">
        <f>"000017"</f>
        <v>000017</v>
      </c>
      <c r="K23" s="7">
        <v>43106</v>
      </c>
      <c r="L23" s="8" t="str">
        <f>"000017"</f>
        <v>000017</v>
      </c>
      <c r="M23" s="7">
        <v>43106</v>
      </c>
      <c r="N23" s="8">
        <v>16</v>
      </c>
      <c r="O23" s="8" t="str">
        <f>"003741"</f>
        <v>003741</v>
      </c>
      <c r="P23" s="7">
        <v>43294</v>
      </c>
      <c r="Q23" s="10">
        <v>4.8502400000000003</v>
      </c>
      <c r="R23" s="10">
        <v>0.62656999999999996</v>
      </c>
      <c r="S23" s="10">
        <v>4.2236700000000003</v>
      </c>
      <c r="T23" s="8">
        <v>73</v>
      </c>
      <c r="U23" s="7">
        <v>43623</v>
      </c>
      <c r="V23" s="8">
        <v>9945535033</v>
      </c>
      <c r="W23" s="9" t="s">
        <v>52</v>
      </c>
      <c r="X23" s="8" t="s">
        <v>29</v>
      </c>
      <c r="Y23" s="9" t="s">
        <v>30</v>
      </c>
      <c r="Z23" s="8" t="s">
        <v>53</v>
      </c>
      <c r="AA23" s="9" t="s">
        <v>54</v>
      </c>
      <c r="AB23" s="10">
        <v>4.8502400000000001E-2</v>
      </c>
    </row>
    <row r="24" spans="1:28" s="4" customFormat="1" ht="13" x14ac:dyDescent="0.3">
      <c r="A24" s="5">
        <v>498</v>
      </c>
      <c r="B24" s="6" t="s">
        <v>33</v>
      </c>
      <c r="C24" s="7">
        <v>43628</v>
      </c>
      <c r="D24" s="8">
        <v>12</v>
      </c>
      <c r="E24" s="9" t="s">
        <v>44</v>
      </c>
      <c r="F24" s="8" t="s">
        <v>64</v>
      </c>
      <c r="G24" s="9" t="s">
        <v>65</v>
      </c>
      <c r="H24" s="8" t="str">
        <f>"000369"</f>
        <v>000369</v>
      </c>
      <c r="I24" s="7">
        <v>43524</v>
      </c>
      <c r="J24" s="8" t="str">
        <f>"000016"</f>
        <v>000016</v>
      </c>
      <c r="K24" s="7">
        <v>43585</v>
      </c>
      <c r="L24" s="8" t="str">
        <f>"000029"</f>
        <v>000029</v>
      </c>
      <c r="M24" s="7">
        <v>43587</v>
      </c>
      <c r="N24" s="8">
        <v>18</v>
      </c>
      <c r="O24" s="8" t="str">
        <f>"002512"</f>
        <v>002512</v>
      </c>
      <c r="P24" s="7">
        <v>43622</v>
      </c>
      <c r="Q24" s="10">
        <v>14.85643</v>
      </c>
      <c r="R24" s="10">
        <v>1.5408599999999999</v>
      </c>
      <c r="S24" s="10">
        <v>13.315569999999999</v>
      </c>
      <c r="T24" s="8">
        <v>78</v>
      </c>
      <c r="U24" s="7">
        <v>43628</v>
      </c>
      <c r="V24" s="8">
        <v>9972045970</v>
      </c>
      <c r="W24" s="9" t="s">
        <v>43</v>
      </c>
      <c r="X24" s="8" t="s">
        <v>41</v>
      </c>
      <c r="Y24" s="9" t="s">
        <v>42</v>
      </c>
      <c r="Z24" s="8" t="s">
        <v>48</v>
      </c>
      <c r="AA24" s="9" t="s">
        <v>49</v>
      </c>
      <c r="AB24" s="10">
        <v>0.14856429999999998</v>
      </c>
    </row>
    <row r="25" spans="1:28" s="4" customFormat="1" ht="13" x14ac:dyDescent="0.3">
      <c r="A25" s="5">
        <v>499</v>
      </c>
      <c r="B25" s="6" t="s">
        <v>92</v>
      </c>
      <c r="C25" s="7">
        <v>43658</v>
      </c>
      <c r="D25" s="8">
        <v>12</v>
      </c>
      <c r="E25" s="9" t="s">
        <v>44</v>
      </c>
      <c r="F25" s="8" t="s">
        <v>93</v>
      </c>
      <c r="G25" s="11" t="s">
        <v>94</v>
      </c>
      <c r="H25" s="8" t="str">
        <f>"000322"</f>
        <v>000322</v>
      </c>
      <c r="I25" s="7">
        <v>43181</v>
      </c>
      <c r="J25" s="8" t="str">
        <f>"000082"</f>
        <v>000082</v>
      </c>
      <c r="K25" s="7">
        <v>43496</v>
      </c>
      <c r="L25" s="8" t="str">
        <f>"000307"</f>
        <v>000307</v>
      </c>
      <c r="M25" s="7">
        <v>43496</v>
      </c>
      <c r="N25" s="8">
        <v>18</v>
      </c>
      <c r="O25" s="8" t="str">
        <f>"003287"</f>
        <v>003287</v>
      </c>
      <c r="P25" s="7">
        <v>43650</v>
      </c>
      <c r="Q25" s="12">
        <v>49.95044</v>
      </c>
      <c r="R25" s="12">
        <v>5.38835</v>
      </c>
      <c r="S25" s="12">
        <v>44.562089999999998</v>
      </c>
      <c r="T25" s="8">
        <v>112</v>
      </c>
      <c r="U25" s="7">
        <v>43658</v>
      </c>
      <c r="V25" s="8">
        <v>9449219009</v>
      </c>
      <c r="W25" s="11" t="s">
        <v>43</v>
      </c>
      <c r="X25" s="8" t="s">
        <v>38</v>
      </c>
      <c r="Y25" s="11" t="s">
        <v>37</v>
      </c>
      <c r="Z25" s="8" t="s">
        <v>48</v>
      </c>
      <c r="AA25" s="11" t="s">
        <v>49</v>
      </c>
      <c r="AB25" s="12">
        <f t="shared" ref="AB25:AB39" si="1">Q25/100</f>
        <v>0.49950440000000002</v>
      </c>
    </row>
    <row r="26" spans="1:28" s="4" customFormat="1" ht="13" x14ac:dyDescent="0.3">
      <c r="A26" s="5">
        <v>500</v>
      </c>
      <c r="B26" s="6" t="s">
        <v>92</v>
      </c>
      <c r="C26" s="7">
        <v>43663</v>
      </c>
      <c r="D26" s="8">
        <v>12</v>
      </c>
      <c r="E26" s="9" t="s">
        <v>44</v>
      </c>
      <c r="F26" s="8" t="s">
        <v>95</v>
      </c>
      <c r="G26" s="11" t="s">
        <v>96</v>
      </c>
      <c r="H26" s="8" t="str">
        <f>"000021"</f>
        <v>000021</v>
      </c>
      <c r="I26" s="7">
        <v>43158</v>
      </c>
      <c r="J26" s="8" t="str">
        <f>"000025"</f>
        <v>000025</v>
      </c>
      <c r="K26" s="7">
        <v>43186</v>
      </c>
      <c r="L26" s="8" t="str">
        <f>"000025"</f>
        <v>000025</v>
      </c>
      <c r="M26" s="7">
        <v>43186</v>
      </c>
      <c r="N26" s="8">
        <v>18</v>
      </c>
      <c r="O26" s="8" t="str">
        <f>"003417"</f>
        <v>003417</v>
      </c>
      <c r="P26" s="7">
        <v>43662</v>
      </c>
      <c r="Q26" s="12">
        <v>24.559090000000001</v>
      </c>
      <c r="R26" s="12">
        <v>1.98929</v>
      </c>
      <c r="S26" s="12">
        <v>22.569800000000001</v>
      </c>
      <c r="T26" s="8">
        <v>113</v>
      </c>
      <c r="U26" s="7">
        <v>43663</v>
      </c>
      <c r="V26" s="8">
        <v>9986313631</v>
      </c>
      <c r="W26" s="11" t="s">
        <v>97</v>
      </c>
      <c r="X26" s="8" t="s">
        <v>98</v>
      </c>
      <c r="Y26" s="11" t="s">
        <v>99</v>
      </c>
      <c r="Z26" s="8" t="s">
        <v>53</v>
      </c>
      <c r="AA26" s="11" t="s">
        <v>54</v>
      </c>
      <c r="AB26" s="12">
        <f t="shared" si="1"/>
        <v>0.2455909</v>
      </c>
    </row>
    <row r="27" spans="1:28" s="4" customFormat="1" ht="13" x14ac:dyDescent="0.3">
      <c r="A27" s="5">
        <v>501</v>
      </c>
      <c r="B27" s="6" t="s">
        <v>92</v>
      </c>
      <c r="C27" s="7">
        <v>43663</v>
      </c>
      <c r="D27" s="8">
        <v>12</v>
      </c>
      <c r="E27" s="9" t="s">
        <v>44</v>
      </c>
      <c r="F27" s="8" t="s">
        <v>100</v>
      </c>
      <c r="G27" s="11" t="s">
        <v>101</v>
      </c>
      <c r="H27" s="8" t="str">
        <f>"000020"</f>
        <v>000020</v>
      </c>
      <c r="I27" s="7">
        <v>43158</v>
      </c>
      <c r="J27" s="8" t="str">
        <f>"000026"</f>
        <v>000026</v>
      </c>
      <c r="K27" s="7">
        <v>43186</v>
      </c>
      <c r="L27" s="8" t="str">
        <f>"000026"</f>
        <v>000026</v>
      </c>
      <c r="M27" s="7">
        <v>43186</v>
      </c>
      <c r="N27" s="8">
        <v>18</v>
      </c>
      <c r="O27" s="8" t="str">
        <f>"003418"</f>
        <v>003418</v>
      </c>
      <c r="P27" s="7">
        <v>43662</v>
      </c>
      <c r="Q27" s="12">
        <v>24.559090000000001</v>
      </c>
      <c r="R27" s="12">
        <v>1.98929</v>
      </c>
      <c r="S27" s="12">
        <v>22.569800000000001</v>
      </c>
      <c r="T27" s="8">
        <v>113</v>
      </c>
      <c r="U27" s="7">
        <v>43663</v>
      </c>
      <c r="V27" s="8">
        <v>9986313631</v>
      </c>
      <c r="W27" s="11" t="s">
        <v>102</v>
      </c>
      <c r="X27" s="8" t="s">
        <v>98</v>
      </c>
      <c r="Y27" s="11" t="s">
        <v>99</v>
      </c>
      <c r="Z27" s="8" t="s">
        <v>53</v>
      </c>
      <c r="AA27" s="11" t="s">
        <v>54</v>
      </c>
      <c r="AB27" s="12">
        <f t="shared" si="1"/>
        <v>0.2455909</v>
      </c>
    </row>
    <row r="28" spans="1:28" s="4" customFormat="1" ht="13" x14ac:dyDescent="0.3">
      <c r="A28" s="5">
        <v>502</v>
      </c>
      <c r="B28" s="6" t="s">
        <v>92</v>
      </c>
      <c r="C28" s="7">
        <v>43663</v>
      </c>
      <c r="D28" s="8">
        <v>12</v>
      </c>
      <c r="E28" s="9" t="s">
        <v>44</v>
      </c>
      <c r="F28" s="8" t="s">
        <v>103</v>
      </c>
      <c r="G28" s="11" t="s">
        <v>104</v>
      </c>
      <c r="H28" s="8" t="str">
        <f>"000023"</f>
        <v>000023</v>
      </c>
      <c r="I28" s="7">
        <v>43158</v>
      </c>
      <c r="J28" s="8" t="str">
        <f>"000027"</f>
        <v>000027</v>
      </c>
      <c r="K28" s="7">
        <v>43186</v>
      </c>
      <c r="L28" s="8" t="str">
        <f>"000027"</f>
        <v>000027</v>
      </c>
      <c r="M28" s="7">
        <v>43186</v>
      </c>
      <c r="N28" s="8">
        <v>18</v>
      </c>
      <c r="O28" s="8" t="str">
        <f>"003419"</f>
        <v>003419</v>
      </c>
      <c r="P28" s="7">
        <v>43662</v>
      </c>
      <c r="Q28" s="12">
        <v>24.559090000000001</v>
      </c>
      <c r="R28" s="12">
        <v>1.98929</v>
      </c>
      <c r="S28" s="12">
        <v>22.569800000000001</v>
      </c>
      <c r="T28" s="8">
        <v>113</v>
      </c>
      <c r="U28" s="7">
        <v>43663</v>
      </c>
      <c r="V28" s="8">
        <v>9986313631</v>
      </c>
      <c r="W28" s="11" t="s">
        <v>105</v>
      </c>
      <c r="X28" s="8" t="s">
        <v>98</v>
      </c>
      <c r="Y28" s="11" t="s">
        <v>99</v>
      </c>
      <c r="Z28" s="8" t="s">
        <v>53</v>
      </c>
      <c r="AA28" s="11" t="s">
        <v>54</v>
      </c>
      <c r="AB28" s="12">
        <f t="shared" si="1"/>
        <v>0.2455909</v>
      </c>
    </row>
    <row r="29" spans="1:28" s="4" customFormat="1" ht="13" x14ac:dyDescent="0.3">
      <c r="A29" s="5">
        <v>503</v>
      </c>
      <c r="B29" s="6" t="s">
        <v>92</v>
      </c>
      <c r="C29" s="7">
        <v>43663</v>
      </c>
      <c r="D29" s="8">
        <v>12</v>
      </c>
      <c r="E29" s="9" t="s">
        <v>44</v>
      </c>
      <c r="F29" s="8" t="s">
        <v>106</v>
      </c>
      <c r="G29" s="11" t="s">
        <v>107</v>
      </c>
      <c r="H29" s="8" t="str">
        <f>"000022"</f>
        <v>000022</v>
      </c>
      <c r="I29" s="7">
        <v>43158</v>
      </c>
      <c r="J29" s="8" t="str">
        <f>"000028"</f>
        <v>000028</v>
      </c>
      <c r="K29" s="7">
        <v>43186</v>
      </c>
      <c r="L29" s="8" t="str">
        <f>"000028"</f>
        <v>000028</v>
      </c>
      <c r="M29" s="7">
        <v>43186</v>
      </c>
      <c r="N29" s="8">
        <v>18</v>
      </c>
      <c r="O29" s="8" t="str">
        <f>"003420"</f>
        <v>003420</v>
      </c>
      <c r="P29" s="7">
        <v>43662</v>
      </c>
      <c r="Q29" s="12">
        <v>24.559090000000001</v>
      </c>
      <c r="R29" s="12">
        <v>1.98929</v>
      </c>
      <c r="S29" s="12">
        <v>22.569800000000001</v>
      </c>
      <c r="T29" s="8">
        <v>113</v>
      </c>
      <c r="U29" s="7">
        <v>43663</v>
      </c>
      <c r="V29" s="8">
        <v>9986313631</v>
      </c>
      <c r="W29" s="11" t="s">
        <v>108</v>
      </c>
      <c r="X29" s="8" t="s">
        <v>98</v>
      </c>
      <c r="Y29" s="11" t="s">
        <v>99</v>
      </c>
      <c r="Z29" s="8" t="s">
        <v>53</v>
      </c>
      <c r="AA29" s="11" t="s">
        <v>54</v>
      </c>
      <c r="AB29" s="12">
        <f t="shared" si="1"/>
        <v>0.2455909</v>
      </c>
    </row>
    <row r="30" spans="1:28" s="4" customFormat="1" ht="13" x14ac:dyDescent="0.3">
      <c r="A30" s="5">
        <v>504</v>
      </c>
      <c r="B30" s="6" t="s">
        <v>92</v>
      </c>
      <c r="C30" s="7">
        <v>43668</v>
      </c>
      <c r="D30" s="8">
        <v>12</v>
      </c>
      <c r="E30" s="9" t="s">
        <v>44</v>
      </c>
      <c r="F30" s="8" t="s">
        <v>109</v>
      </c>
      <c r="G30" s="11" t="s">
        <v>110</v>
      </c>
      <c r="H30" s="8" t="str">
        <f>"000367"</f>
        <v>000367</v>
      </c>
      <c r="I30" s="7">
        <v>43524</v>
      </c>
      <c r="J30" s="8" t="str">
        <f>"000046"</f>
        <v>000046</v>
      </c>
      <c r="K30" s="7">
        <v>43694</v>
      </c>
      <c r="L30" s="8" t="str">
        <f>"000130"</f>
        <v>000130</v>
      </c>
      <c r="M30" s="7">
        <v>43703</v>
      </c>
      <c r="N30" s="8">
        <v>18</v>
      </c>
      <c r="O30" s="8" t="str">
        <f>"005968"</f>
        <v>005968</v>
      </c>
      <c r="P30" s="7">
        <v>43763</v>
      </c>
      <c r="Q30" s="12">
        <v>11.371740000000001</v>
      </c>
      <c r="R30" s="12">
        <v>1.1241699999999999</v>
      </c>
      <c r="S30" s="12">
        <v>10.24757</v>
      </c>
      <c r="T30" s="8">
        <v>119</v>
      </c>
      <c r="U30" s="7">
        <v>43668</v>
      </c>
      <c r="V30" s="8">
        <v>9972045970</v>
      </c>
      <c r="W30" s="11" t="s">
        <v>43</v>
      </c>
      <c r="X30" s="8" t="s">
        <v>111</v>
      </c>
      <c r="Y30" s="11" t="s">
        <v>112</v>
      </c>
      <c r="Z30" s="8" t="s">
        <v>48</v>
      </c>
      <c r="AA30" s="11" t="s">
        <v>49</v>
      </c>
      <c r="AB30" s="12">
        <f t="shared" si="1"/>
        <v>0.11371740000000001</v>
      </c>
    </row>
    <row r="31" spans="1:28" s="4" customFormat="1" ht="13" x14ac:dyDescent="0.3">
      <c r="A31" s="5">
        <v>505</v>
      </c>
      <c r="B31" s="6" t="s">
        <v>92</v>
      </c>
      <c r="C31" s="7">
        <v>43671</v>
      </c>
      <c r="D31" s="8">
        <v>12</v>
      </c>
      <c r="E31" s="9" t="s">
        <v>44</v>
      </c>
      <c r="F31" s="8" t="s">
        <v>113</v>
      </c>
      <c r="G31" s="11" t="s">
        <v>114</v>
      </c>
      <c r="H31" s="8" t="str">
        <f>"000179"</f>
        <v>000179</v>
      </c>
      <c r="I31" s="7">
        <v>41628</v>
      </c>
      <c r="J31" s="8" t="str">
        <f>"000121"</f>
        <v>000121</v>
      </c>
      <c r="K31" s="7">
        <v>42277</v>
      </c>
      <c r="L31" s="8" t="str">
        <f>"000387"</f>
        <v>000387</v>
      </c>
      <c r="M31" s="7">
        <v>42338</v>
      </c>
      <c r="N31" s="8">
        <v>14</v>
      </c>
      <c r="O31" s="8" t="str">
        <f>"003899"</f>
        <v>003899</v>
      </c>
      <c r="P31" s="7">
        <v>43669</v>
      </c>
      <c r="Q31" s="12">
        <v>5.4937300000000002</v>
      </c>
      <c r="R31" s="12">
        <v>0.9083</v>
      </c>
      <c r="S31" s="12">
        <v>4.5854299999999997</v>
      </c>
      <c r="T31" s="8">
        <v>124</v>
      </c>
      <c r="U31" s="7">
        <v>43671</v>
      </c>
      <c r="V31" s="8">
        <v>9481614888</v>
      </c>
      <c r="W31" s="11" t="s">
        <v>43</v>
      </c>
      <c r="X31" s="8" t="s">
        <v>115</v>
      </c>
      <c r="Y31" s="11" t="s">
        <v>116</v>
      </c>
      <c r="Z31" s="8" t="s">
        <v>48</v>
      </c>
      <c r="AA31" s="11" t="s">
        <v>49</v>
      </c>
      <c r="AB31" s="12">
        <f t="shared" si="1"/>
        <v>5.4937300000000001E-2</v>
      </c>
    </row>
    <row r="32" spans="1:28" s="4" customFormat="1" ht="13" x14ac:dyDescent="0.3">
      <c r="A32" s="5">
        <v>506</v>
      </c>
      <c r="B32" s="6" t="s">
        <v>117</v>
      </c>
      <c r="C32" s="7">
        <v>43685</v>
      </c>
      <c r="D32" s="8">
        <v>12</v>
      </c>
      <c r="E32" s="9" t="s">
        <v>44</v>
      </c>
      <c r="F32" s="8" t="s">
        <v>118</v>
      </c>
      <c r="G32" s="11" t="s">
        <v>119</v>
      </c>
      <c r="H32" s="8" t="str">
        <f>"000014"</f>
        <v>000014</v>
      </c>
      <c r="I32" s="7">
        <v>43102</v>
      </c>
      <c r="J32" s="8" t="str">
        <f>"000013"</f>
        <v>000013</v>
      </c>
      <c r="K32" s="7">
        <v>43307</v>
      </c>
      <c r="L32" s="8" t="str">
        <f>"000011"</f>
        <v>000011</v>
      </c>
      <c r="M32" s="7">
        <v>43307</v>
      </c>
      <c r="N32" s="8">
        <v>17</v>
      </c>
      <c r="O32" s="8" t="str">
        <f>"004262"</f>
        <v>004262</v>
      </c>
      <c r="P32" s="7">
        <v>43680</v>
      </c>
      <c r="Q32" s="12">
        <v>2.1064400000000001</v>
      </c>
      <c r="R32" s="12">
        <v>6.5339999999999995E-2</v>
      </c>
      <c r="S32" s="12">
        <v>2.0411000000000001</v>
      </c>
      <c r="T32" s="8">
        <v>145</v>
      </c>
      <c r="U32" s="7">
        <v>43685</v>
      </c>
      <c r="V32" s="8">
        <v>9986319631</v>
      </c>
      <c r="W32" s="11" t="s">
        <v>120</v>
      </c>
      <c r="X32" s="8" t="s">
        <v>121</v>
      </c>
      <c r="Y32" s="11" t="s">
        <v>122</v>
      </c>
      <c r="Z32" s="8" t="s">
        <v>53</v>
      </c>
      <c r="AA32" s="11" t="s">
        <v>54</v>
      </c>
      <c r="AB32" s="12">
        <f t="shared" si="1"/>
        <v>2.10644E-2</v>
      </c>
    </row>
    <row r="33" spans="1:28" s="4" customFormat="1" ht="13" x14ac:dyDescent="0.3">
      <c r="A33" s="5">
        <v>507</v>
      </c>
      <c r="B33" s="6" t="s">
        <v>123</v>
      </c>
      <c r="C33" s="7">
        <v>43721</v>
      </c>
      <c r="D33" s="8">
        <v>12</v>
      </c>
      <c r="E33" s="9" t="s">
        <v>44</v>
      </c>
      <c r="F33" s="8" t="s">
        <v>50</v>
      </c>
      <c r="G33" s="11" t="s">
        <v>51</v>
      </c>
      <c r="H33" s="8" t="str">
        <f>"00006A"</f>
        <v>00006A</v>
      </c>
      <c r="I33" s="7">
        <v>42697</v>
      </c>
      <c r="J33" s="8" t="str">
        <f>"000017"</f>
        <v>000017</v>
      </c>
      <c r="K33" s="7">
        <v>43106</v>
      </c>
      <c r="L33" s="8" t="str">
        <f>"000017"</f>
        <v>000017</v>
      </c>
      <c r="M33" s="7">
        <v>43106</v>
      </c>
      <c r="N33" s="8">
        <v>16</v>
      </c>
      <c r="O33" s="8" t="str">
        <f>"003741"</f>
        <v>003741</v>
      </c>
      <c r="P33" s="7">
        <v>43294</v>
      </c>
      <c r="Q33" s="12">
        <v>4.8502299999999998</v>
      </c>
      <c r="R33" s="12">
        <v>0.66152999999999995</v>
      </c>
      <c r="S33" s="12">
        <v>4.1886999999999999</v>
      </c>
      <c r="T33" s="8">
        <v>186</v>
      </c>
      <c r="U33" s="7">
        <v>43721</v>
      </c>
      <c r="V33" s="8">
        <v>9945535033</v>
      </c>
      <c r="W33" s="11" t="s">
        <v>52</v>
      </c>
      <c r="X33" s="8" t="s">
        <v>29</v>
      </c>
      <c r="Y33" s="11" t="s">
        <v>30</v>
      </c>
      <c r="Z33" s="8" t="s">
        <v>53</v>
      </c>
      <c r="AA33" s="11" t="s">
        <v>54</v>
      </c>
      <c r="AB33" s="12">
        <f t="shared" si="1"/>
        <v>4.8502299999999998E-2</v>
      </c>
    </row>
    <row r="34" spans="1:28" s="4" customFormat="1" ht="13" x14ac:dyDescent="0.3">
      <c r="A34" s="5">
        <v>508</v>
      </c>
      <c r="B34" s="6" t="s">
        <v>123</v>
      </c>
      <c r="C34" s="7">
        <v>43721</v>
      </c>
      <c r="D34" s="8">
        <v>12</v>
      </c>
      <c r="E34" s="9" t="s">
        <v>44</v>
      </c>
      <c r="F34" s="8" t="s">
        <v>55</v>
      </c>
      <c r="G34" s="11" t="s">
        <v>56</v>
      </c>
      <c r="H34" s="8" t="str">
        <f>"00007A"</f>
        <v>00007A</v>
      </c>
      <c r="I34" s="7">
        <v>42697</v>
      </c>
      <c r="J34" s="8" t="str">
        <f>"000022"</f>
        <v>000022</v>
      </c>
      <c r="K34" s="7">
        <v>42916</v>
      </c>
      <c r="L34" s="8" t="str">
        <f>"000023"</f>
        <v>000023</v>
      </c>
      <c r="M34" s="7">
        <v>42916</v>
      </c>
      <c r="N34" s="8">
        <v>16</v>
      </c>
      <c r="O34" s="8" t="str">
        <f>"004807"</f>
        <v>004807</v>
      </c>
      <c r="P34" s="7">
        <v>43315</v>
      </c>
      <c r="Q34" s="12">
        <v>4.8043800000000001</v>
      </c>
      <c r="R34" s="12">
        <v>0.68108000000000002</v>
      </c>
      <c r="S34" s="12">
        <v>4.1233000000000004</v>
      </c>
      <c r="T34" s="8">
        <v>186</v>
      </c>
      <c r="U34" s="7">
        <v>43721</v>
      </c>
      <c r="V34" s="8">
        <v>9946635033</v>
      </c>
      <c r="W34" s="11" t="s">
        <v>57</v>
      </c>
      <c r="X34" s="8" t="s">
        <v>29</v>
      </c>
      <c r="Y34" s="11" t="s">
        <v>30</v>
      </c>
      <c r="Z34" s="8" t="s">
        <v>53</v>
      </c>
      <c r="AA34" s="11" t="s">
        <v>54</v>
      </c>
      <c r="AB34" s="12">
        <f t="shared" si="1"/>
        <v>4.8043799999999998E-2</v>
      </c>
    </row>
    <row r="35" spans="1:28" s="4" customFormat="1" ht="13" x14ac:dyDescent="0.3">
      <c r="A35" s="5">
        <v>509</v>
      </c>
      <c r="B35" s="6" t="s">
        <v>123</v>
      </c>
      <c r="C35" s="7">
        <v>43725</v>
      </c>
      <c r="D35" s="8">
        <v>12</v>
      </c>
      <c r="E35" s="9" t="s">
        <v>44</v>
      </c>
      <c r="F35" s="8" t="s">
        <v>124</v>
      </c>
      <c r="G35" s="11" t="s">
        <v>125</v>
      </c>
      <c r="H35" s="8" t="str">
        <f>"0O0112"</f>
        <v>0O0112</v>
      </c>
      <c r="I35" s="7">
        <v>42907</v>
      </c>
      <c r="J35" s="8" t="str">
        <f>"000046"</f>
        <v>000046</v>
      </c>
      <c r="K35" s="7">
        <v>43159</v>
      </c>
      <c r="L35" s="8" t="str">
        <f>"000137"</f>
        <v>000137</v>
      </c>
      <c r="M35" s="7">
        <v>43180</v>
      </c>
      <c r="N35" s="8">
        <v>17</v>
      </c>
      <c r="O35" s="8" t="str">
        <f>"004883"</f>
        <v>004883</v>
      </c>
      <c r="P35" s="7">
        <v>43707</v>
      </c>
      <c r="Q35" s="12">
        <v>33.846910000000001</v>
      </c>
      <c r="R35" s="12">
        <v>1.1795</v>
      </c>
      <c r="S35" s="12">
        <v>32.667409999999997</v>
      </c>
      <c r="T35" s="8">
        <v>190</v>
      </c>
      <c r="U35" s="7">
        <v>43725</v>
      </c>
      <c r="V35" s="8">
        <v>3301829745</v>
      </c>
      <c r="W35" s="11" t="s">
        <v>126</v>
      </c>
      <c r="X35" s="8" t="s">
        <v>34</v>
      </c>
      <c r="Y35" s="11" t="s">
        <v>35</v>
      </c>
      <c r="Z35" s="8" t="s">
        <v>48</v>
      </c>
      <c r="AA35" s="11" t="s">
        <v>49</v>
      </c>
      <c r="AB35" s="12">
        <f t="shared" si="1"/>
        <v>0.33846910000000002</v>
      </c>
    </row>
    <row r="36" spans="1:28" s="4" customFormat="1" ht="13" x14ac:dyDescent="0.3">
      <c r="A36" s="5">
        <v>510</v>
      </c>
      <c r="B36" s="6" t="s">
        <v>123</v>
      </c>
      <c r="C36" s="7">
        <v>43726</v>
      </c>
      <c r="D36" s="8">
        <v>12</v>
      </c>
      <c r="E36" s="9" t="s">
        <v>44</v>
      </c>
      <c r="F36" s="8" t="s">
        <v>127</v>
      </c>
      <c r="G36" s="11" t="s">
        <v>128</v>
      </c>
      <c r="H36" s="8" t="str">
        <f>"000368"</f>
        <v>000368</v>
      </c>
      <c r="I36" s="7">
        <v>43524</v>
      </c>
      <c r="J36" s="8" t="str">
        <f>"000006"</f>
        <v>000006</v>
      </c>
      <c r="K36" s="7">
        <v>43579</v>
      </c>
      <c r="L36" s="8" t="str">
        <f>"000014"</f>
        <v>000014</v>
      </c>
      <c r="M36" s="7">
        <v>43582</v>
      </c>
      <c r="N36" s="8">
        <v>18</v>
      </c>
      <c r="O36" s="8" t="str">
        <f>"004993"</f>
        <v>004993</v>
      </c>
      <c r="P36" s="7">
        <v>43719</v>
      </c>
      <c r="Q36" s="12">
        <v>9.9063300000000005</v>
      </c>
      <c r="R36" s="12">
        <v>1.06009</v>
      </c>
      <c r="S36" s="12">
        <v>8.8462399999999999</v>
      </c>
      <c r="T36" s="8">
        <v>191</v>
      </c>
      <c r="U36" s="7">
        <v>43726</v>
      </c>
      <c r="V36" s="8">
        <v>9972045970</v>
      </c>
      <c r="W36" s="11" t="s">
        <v>43</v>
      </c>
      <c r="X36" s="8" t="s">
        <v>129</v>
      </c>
      <c r="Y36" s="11" t="s">
        <v>130</v>
      </c>
      <c r="Z36" s="8" t="s">
        <v>48</v>
      </c>
      <c r="AA36" s="11" t="s">
        <v>49</v>
      </c>
      <c r="AB36" s="12">
        <f t="shared" si="1"/>
        <v>9.9063300000000007E-2</v>
      </c>
    </row>
    <row r="37" spans="1:28" s="4" customFormat="1" ht="13" x14ac:dyDescent="0.3">
      <c r="A37" s="5">
        <v>511</v>
      </c>
      <c r="B37" s="6" t="s">
        <v>123</v>
      </c>
      <c r="C37" s="7">
        <v>43731</v>
      </c>
      <c r="D37" s="8">
        <v>12</v>
      </c>
      <c r="E37" s="9" t="s">
        <v>44</v>
      </c>
      <c r="F37" s="8" t="s">
        <v>131</v>
      </c>
      <c r="G37" s="11" t="s">
        <v>132</v>
      </c>
      <c r="H37" s="8" t="str">
        <f>"00O044"</f>
        <v>00O044</v>
      </c>
      <c r="I37" s="7">
        <v>42769</v>
      </c>
      <c r="J37" s="8" t="str">
        <f>"000009"</f>
        <v>000009</v>
      </c>
      <c r="K37" s="7">
        <v>43229</v>
      </c>
      <c r="L37" s="8" t="str">
        <f>"000047"</f>
        <v>000047</v>
      </c>
      <c r="M37" s="7">
        <v>43236</v>
      </c>
      <c r="N37" s="8">
        <v>17</v>
      </c>
      <c r="O37" s="8" t="str">
        <f>"005151"</f>
        <v>005151</v>
      </c>
      <c r="P37" s="7">
        <v>43726</v>
      </c>
      <c r="Q37" s="12">
        <v>5.6280000000000001</v>
      </c>
      <c r="R37" s="12">
        <v>0.13793</v>
      </c>
      <c r="S37" s="12">
        <v>5.4900700000000002</v>
      </c>
      <c r="T37" s="8">
        <v>197</v>
      </c>
      <c r="U37" s="7">
        <v>43731</v>
      </c>
      <c r="V37" s="8">
        <v>9972045970</v>
      </c>
      <c r="W37" s="11" t="s">
        <v>133</v>
      </c>
      <c r="X37" s="8" t="s">
        <v>34</v>
      </c>
      <c r="Y37" s="11" t="s">
        <v>35</v>
      </c>
      <c r="Z37" s="8" t="s">
        <v>48</v>
      </c>
      <c r="AA37" s="11" t="s">
        <v>49</v>
      </c>
      <c r="AB37" s="12">
        <f t="shared" si="1"/>
        <v>5.6280000000000004E-2</v>
      </c>
    </row>
    <row r="38" spans="1:28" s="4" customFormat="1" ht="13" x14ac:dyDescent="0.3">
      <c r="A38" s="5">
        <v>512</v>
      </c>
      <c r="B38" s="6" t="s">
        <v>123</v>
      </c>
      <c r="C38" s="7">
        <v>43732</v>
      </c>
      <c r="D38" s="8">
        <v>12</v>
      </c>
      <c r="E38" s="9" t="s">
        <v>44</v>
      </c>
      <c r="F38" s="8" t="s">
        <v>134</v>
      </c>
      <c r="G38" s="11" t="s">
        <v>135</v>
      </c>
      <c r="H38" s="8" t="str">
        <f>"000027"</f>
        <v>000027</v>
      </c>
      <c r="I38" s="7">
        <v>43180</v>
      </c>
      <c r="J38" s="8" t="str">
        <f>"000001"</f>
        <v>000001</v>
      </c>
      <c r="K38" s="7">
        <v>43201</v>
      </c>
      <c r="L38" s="8" t="str">
        <f>"000001"</f>
        <v>000001</v>
      </c>
      <c r="M38" s="7">
        <v>43201</v>
      </c>
      <c r="N38" s="8">
        <v>18</v>
      </c>
      <c r="O38" s="8" t="str">
        <f>"005324"</f>
        <v>005324</v>
      </c>
      <c r="P38" s="7">
        <v>43729</v>
      </c>
      <c r="Q38" s="12">
        <v>26.841519999999999</v>
      </c>
      <c r="R38" s="12">
        <v>2.1741199999999998</v>
      </c>
      <c r="S38" s="12">
        <v>24.667400000000001</v>
      </c>
      <c r="T38" s="8">
        <v>199</v>
      </c>
      <c r="U38" s="7">
        <v>43732</v>
      </c>
      <c r="V38" s="8">
        <v>9986313631</v>
      </c>
      <c r="W38" s="11" t="s">
        <v>136</v>
      </c>
      <c r="X38" s="8" t="s">
        <v>137</v>
      </c>
      <c r="Y38" s="11" t="s">
        <v>138</v>
      </c>
      <c r="Z38" s="8" t="s">
        <v>53</v>
      </c>
      <c r="AA38" s="11" t="s">
        <v>54</v>
      </c>
      <c r="AB38" s="12">
        <f t="shared" si="1"/>
        <v>0.26841519999999996</v>
      </c>
    </row>
    <row r="39" spans="1:28" s="4" customFormat="1" ht="13" x14ac:dyDescent="0.3">
      <c r="A39" s="5">
        <v>513</v>
      </c>
      <c r="B39" s="6" t="s">
        <v>123</v>
      </c>
      <c r="C39" s="7">
        <v>43735</v>
      </c>
      <c r="D39" s="8">
        <v>12</v>
      </c>
      <c r="E39" s="9" t="s">
        <v>44</v>
      </c>
      <c r="F39" s="8" t="s">
        <v>139</v>
      </c>
      <c r="G39" s="11" t="s">
        <v>140</v>
      </c>
      <c r="H39" s="8" t="str">
        <f>"000006"</f>
        <v>000006</v>
      </c>
      <c r="I39" s="7">
        <v>43438</v>
      </c>
      <c r="J39" s="8" t="str">
        <f>"000041"</f>
        <v>000041</v>
      </c>
      <c r="K39" s="7">
        <v>43545</v>
      </c>
      <c r="L39" s="8" t="str">
        <f>"000041"</f>
        <v>000041</v>
      </c>
      <c r="M39" s="7">
        <v>43545</v>
      </c>
      <c r="N39" s="8">
        <v>19</v>
      </c>
      <c r="O39" s="8" t="str">
        <f>"005127"</f>
        <v>005127</v>
      </c>
      <c r="P39" s="7">
        <v>43724</v>
      </c>
      <c r="Q39" s="12">
        <v>6.35</v>
      </c>
      <c r="R39" s="12">
        <v>0.76200000000000001</v>
      </c>
      <c r="S39" s="12">
        <v>5.5880000000000001</v>
      </c>
      <c r="T39" s="8">
        <v>204</v>
      </c>
      <c r="U39" s="7">
        <v>43735</v>
      </c>
      <c r="V39" s="8">
        <v>8792620231</v>
      </c>
      <c r="W39" s="11" t="s">
        <v>141</v>
      </c>
      <c r="X39" s="8" t="s">
        <v>142</v>
      </c>
      <c r="Y39" s="11" t="s">
        <v>143</v>
      </c>
      <c r="Z39" s="8" t="s">
        <v>144</v>
      </c>
      <c r="AA39" s="11" t="s">
        <v>145</v>
      </c>
      <c r="AB39" s="12">
        <f t="shared" si="1"/>
        <v>6.3500000000000001E-2</v>
      </c>
    </row>
    <row r="40" spans="1:28" s="4" customFormat="1" ht="13" x14ac:dyDescent="0.3">
      <c r="A40" s="5">
        <v>514</v>
      </c>
      <c r="B40" s="6" t="s">
        <v>146</v>
      </c>
      <c r="C40" s="7">
        <v>43741</v>
      </c>
      <c r="D40" s="5">
        <v>12</v>
      </c>
      <c r="E40" s="9" t="s">
        <v>44</v>
      </c>
      <c r="F40" s="8" t="s">
        <v>147</v>
      </c>
      <c r="G40" s="9" t="s">
        <v>148</v>
      </c>
      <c r="H40" s="8" t="str">
        <f>"000386"</f>
        <v>000386</v>
      </c>
      <c r="I40" s="7">
        <v>43700</v>
      </c>
      <c r="J40" s="8" t="str">
        <f>"000062"</f>
        <v>000062</v>
      </c>
      <c r="K40" s="7">
        <v>43703</v>
      </c>
      <c r="L40" s="8" t="str">
        <f>"000131"</f>
        <v>000131</v>
      </c>
      <c r="M40" s="7">
        <v>43703</v>
      </c>
      <c r="N40" s="8">
        <v>19</v>
      </c>
      <c r="O40" s="8" t="str">
        <f>"005404"</f>
        <v>005404</v>
      </c>
      <c r="P40" s="7">
        <v>43732</v>
      </c>
      <c r="Q40" s="10">
        <v>55.18439</v>
      </c>
      <c r="R40" s="10">
        <v>2.5881599999999998</v>
      </c>
      <c r="S40" s="10">
        <v>52.596229999999998</v>
      </c>
      <c r="T40" s="8">
        <v>13</v>
      </c>
      <c r="U40" s="7">
        <v>43741</v>
      </c>
      <c r="V40" s="8">
        <v>9900510303</v>
      </c>
      <c r="W40" s="9" t="s">
        <v>149</v>
      </c>
      <c r="X40" s="8" t="s">
        <v>150</v>
      </c>
      <c r="Y40" s="9" t="s">
        <v>151</v>
      </c>
      <c r="Z40" s="8" t="s">
        <v>48</v>
      </c>
      <c r="AA40" s="9" t="s">
        <v>49</v>
      </c>
      <c r="AB40" s="10">
        <v>0.55184390000000005</v>
      </c>
    </row>
    <row r="41" spans="1:28" s="4" customFormat="1" ht="13" x14ac:dyDescent="0.3">
      <c r="A41" s="5">
        <v>515</v>
      </c>
      <c r="B41" s="6" t="s">
        <v>146</v>
      </c>
      <c r="C41" s="7">
        <v>43741</v>
      </c>
      <c r="D41" s="5">
        <v>12</v>
      </c>
      <c r="E41" s="9" t="s">
        <v>44</v>
      </c>
      <c r="F41" s="8" t="s">
        <v>152</v>
      </c>
      <c r="G41" s="9" t="s">
        <v>153</v>
      </c>
      <c r="H41" s="8" t="str">
        <f>"000388"</f>
        <v>000388</v>
      </c>
      <c r="I41" s="7">
        <v>43700</v>
      </c>
      <c r="J41" s="8" t="str">
        <f>"000063"</f>
        <v>000063</v>
      </c>
      <c r="K41" s="7">
        <v>43703</v>
      </c>
      <c r="L41" s="8" t="str">
        <f>"000133"</f>
        <v>000133</v>
      </c>
      <c r="M41" s="7">
        <v>43703</v>
      </c>
      <c r="N41" s="8">
        <v>19</v>
      </c>
      <c r="O41" s="8" t="str">
        <f>"005405"</f>
        <v>005405</v>
      </c>
      <c r="P41" s="7">
        <v>43732</v>
      </c>
      <c r="Q41" s="10">
        <v>72.545280000000005</v>
      </c>
      <c r="R41" s="10">
        <v>3.1617999999999999</v>
      </c>
      <c r="S41" s="10">
        <v>69.383480000000006</v>
      </c>
      <c r="T41" s="8">
        <v>13</v>
      </c>
      <c r="U41" s="7">
        <v>43741</v>
      </c>
      <c r="V41" s="8">
        <v>9900501303</v>
      </c>
      <c r="W41" s="9" t="s">
        <v>154</v>
      </c>
      <c r="X41" s="8" t="s">
        <v>150</v>
      </c>
      <c r="Y41" s="9" t="s">
        <v>151</v>
      </c>
      <c r="Z41" s="8" t="s">
        <v>48</v>
      </c>
      <c r="AA41" s="9" t="s">
        <v>49</v>
      </c>
      <c r="AB41" s="10">
        <v>0.72545280000000001</v>
      </c>
    </row>
    <row r="42" spans="1:28" s="4" customFormat="1" ht="13" x14ac:dyDescent="0.3">
      <c r="A42" s="5">
        <v>516</v>
      </c>
      <c r="B42" s="6" t="s">
        <v>146</v>
      </c>
      <c r="C42" s="7">
        <v>43741</v>
      </c>
      <c r="D42" s="5">
        <v>12</v>
      </c>
      <c r="E42" s="9" t="s">
        <v>44</v>
      </c>
      <c r="F42" s="8" t="s">
        <v>155</v>
      </c>
      <c r="G42" s="9" t="s">
        <v>156</v>
      </c>
      <c r="H42" s="8" t="str">
        <f>"000389"</f>
        <v>000389</v>
      </c>
      <c r="I42" s="7">
        <v>43700</v>
      </c>
      <c r="J42" s="8" t="str">
        <f>"000061"</f>
        <v>000061</v>
      </c>
      <c r="K42" s="7">
        <v>43703</v>
      </c>
      <c r="L42" s="8" t="str">
        <f>"000137"</f>
        <v>000137</v>
      </c>
      <c r="M42" s="7">
        <v>43704</v>
      </c>
      <c r="N42" s="8">
        <v>19</v>
      </c>
      <c r="O42" s="8" t="str">
        <f>"005406"</f>
        <v>005406</v>
      </c>
      <c r="P42" s="7">
        <v>43732</v>
      </c>
      <c r="Q42" s="10">
        <v>77.262569999999997</v>
      </c>
      <c r="R42" s="10">
        <v>3.3450500000000001</v>
      </c>
      <c r="S42" s="10">
        <v>73.917519999999996</v>
      </c>
      <c r="T42" s="8">
        <v>13</v>
      </c>
      <c r="U42" s="7">
        <v>43741</v>
      </c>
      <c r="V42" s="8">
        <v>9900501303</v>
      </c>
      <c r="W42" s="9" t="s">
        <v>157</v>
      </c>
      <c r="X42" s="8" t="s">
        <v>150</v>
      </c>
      <c r="Y42" s="9" t="s">
        <v>151</v>
      </c>
      <c r="Z42" s="8" t="s">
        <v>48</v>
      </c>
      <c r="AA42" s="9" t="s">
        <v>49</v>
      </c>
      <c r="AB42" s="10">
        <v>0.77262569999999997</v>
      </c>
    </row>
    <row r="43" spans="1:28" s="4" customFormat="1" ht="13" x14ac:dyDescent="0.3">
      <c r="A43" s="5">
        <v>517</v>
      </c>
      <c r="B43" s="6" t="s">
        <v>146</v>
      </c>
      <c r="C43" s="7">
        <v>43768</v>
      </c>
      <c r="D43" s="5">
        <v>12</v>
      </c>
      <c r="E43" s="9" t="s">
        <v>44</v>
      </c>
      <c r="F43" s="8" t="s">
        <v>109</v>
      </c>
      <c r="G43" s="9" t="s">
        <v>110</v>
      </c>
      <c r="H43" s="8" t="str">
        <f>"000367"</f>
        <v>000367</v>
      </c>
      <c r="I43" s="7">
        <v>43524</v>
      </c>
      <c r="J43" s="8" t="str">
        <f>"000046"</f>
        <v>000046</v>
      </c>
      <c r="K43" s="7">
        <v>43694</v>
      </c>
      <c r="L43" s="8" t="str">
        <f>"000130"</f>
        <v>000130</v>
      </c>
      <c r="M43" s="7">
        <v>43703</v>
      </c>
      <c r="N43" s="8">
        <v>18</v>
      </c>
      <c r="O43" s="8" t="str">
        <f>"005968"</f>
        <v>005968</v>
      </c>
      <c r="P43" s="7">
        <v>43763</v>
      </c>
      <c r="Q43" s="10">
        <v>8.4429700000000008</v>
      </c>
      <c r="R43" s="10">
        <v>0.83464000000000005</v>
      </c>
      <c r="S43" s="10">
        <v>7.6083299999999996</v>
      </c>
      <c r="T43" s="8">
        <v>13</v>
      </c>
      <c r="U43" s="7">
        <v>43768</v>
      </c>
      <c r="V43" s="8">
        <v>9972045970</v>
      </c>
      <c r="W43" s="9" t="s">
        <v>43</v>
      </c>
      <c r="X43" s="8" t="s">
        <v>111</v>
      </c>
      <c r="Y43" s="9" t="s">
        <v>112</v>
      </c>
      <c r="Z43" s="8" t="s">
        <v>48</v>
      </c>
      <c r="AA43" s="9" t="s">
        <v>49</v>
      </c>
      <c r="AB43" s="10">
        <v>8.442970000000001E-2</v>
      </c>
    </row>
    <row r="44" spans="1:28" s="4" customFormat="1" ht="13" x14ac:dyDescent="0.3">
      <c r="A44" s="5">
        <v>518</v>
      </c>
      <c r="B44" s="6" t="s">
        <v>146</v>
      </c>
      <c r="C44" s="7">
        <v>43768</v>
      </c>
      <c r="D44" s="5">
        <v>12</v>
      </c>
      <c r="E44" s="9" t="s">
        <v>44</v>
      </c>
      <c r="F44" s="8" t="s">
        <v>158</v>
      </c>
      <c r="G44" s="9" t="s">
        <v>159</v>
      </c>
      <c r="H44" s="8" t="str">
        <f>"000370"</f>
        <v>000370</v>
      </c>
      <c r="I44" s="7">
        <v>43524</v>
      </c>
      <c r="J44" s="8" t="str">
        <f>"000060"</f>
        <v>000060</v>
      </c>
      <c r="K44" s="7">
        <v>43703</v>
      </c>
      <c r="L44" s="8" t="str">
        <f>"000128"</f>
        <v>000128</v>
      </c>
      <c r="M44" s="7">
        <v>43703</v>
      </c>
      <c r="N44" s="8">
        <v>18</v>
      </c>
      <c r="O44" s="8" t="str">
        <f>"005969"</f>
        <v>005969</v>
      </c>
      <c r="P44" s="7">
        <v>43763</v>
      </c>
      <c r="Q44" s="10">
        <v>14.98556</v>
      </c>
      <c r="R44" s="10">
        <v>1.6196299999999999</v>
      </c>
      <c r="S44" s="10">
        <v>13.365930000000001</v>
      </c>
      <c r="T44" s="8">
        <v>13</v>
      </c>
      <c r="U44" s="7">
        <v>43768</v>
      </c>
      <c r="V44" s="8">
        <v>9972045970</v>
      </c>
      <c r="W44" s="9" t="s">
        <v>43</v>
      </c>
      <c r="X44" s="8" t="s">
        <v>160</v>
      </c>
      <c r="Y44" s="9" t="s">
        <v>161</v>
      </c>
      <c r="Z44" s="8" t="s">
        <v>48</v>
      </c>
      <c r="AA44" s="9" t="s">
        <v>49</v>
      </c>
      <c r="AB44" s="10">
        <v>0.14985560000000001</v>
      </c>
    </row>
    <row r="45" spans="1:28" s="4" customFormat="1" ht="13" x14ac:dyDescent="0.3">
      <c r="A45" s="5">
        <v>519</v>
      </c>
      <c r="B45" s="6" t="s">
        <v>146</v>
      </c>
      <c r="C45" s="7">
        <v>43768</v>
      </c>
      <c r="D45" s="5">
        <v>12</v>
      </c>
      <c r="E45" s="9" t="s">
        <v>44</v>
      </c>
      <c r="F45" s="8" t="s">
        <v>162</v>
      </c>
      <c r="G45" s="9" t="s">
        <v>163</v>
      </c>
      <c r="H45" s="8" t="str">
        <f>"000338"</f>
        <v>000338</v>
      </c>
      <c r="I45" s="7">
        <v>43615</v>
      </c>
      <c r="J45" s="8" t="str">
        <f>"000059"</f>
        <v>000059</v>
      </c>
      <c r="K45" s="7">
        <v>43703</v>
      </c>
      <c r="L45" s="8" t="str">
        <f>"000129"</f>
        <v>000129</v>
      </c>
      <c r="M45" s="7">
        <v>43703</v>
      </c>
      <c r="N45" s="8">
        <v>19</v>
      </c>
      <c r="O45" s="8" t="str">
        <f>"005970"</f>
        <v>005970</v>
      </c>
      <c r="P45" s="7">
        <v>43763</v>
      </c>
      <c r="Q45" s="10">
        <v>39.06268</v>
      </c>
      <c r="R45" s="10">
        <v>1.51786</v>
      </c>
      <c r="S45" s="10">
        <v>37.544820000000001</v>
      </c>
      <c r="T45" s="8">
        <v>13</v>
      </c>
      <c r="U45" s="7">
        <v>43768</v>
      </c>
      <c r="V45" s="8">
        <v>9980319812</v>
      </c>
      <c r="W45" s="9" t="s">
        <v>164</v>
      </c>
      <c r="X45" s="8" t="s">
        <v>111</v>
      </c>
      <c r="Y45" s="9" t="s">
        <v>112</v>
      </c>
      <c r="Z45" s="8" t="s">
        <v>48</v>
      </c>
      <c r="AA45" s="9" t="s">
        <v>49</v>
      </c>
      <c r="AB45" s="10">
        <v>0.3906268</v>
      </c>
    </row>
    <row r="46" spans="1:28" s="4" customFormat="1" ht="13" x14ac:dyDescent="0.3">
      <c r="A46" s="5">
        <v>520</v>
      </c>
      <c r="B46" s="6" t="s">
        <v>165</v>
      </c>
      <c r="C46" s="7">
        <v>43809</v>
      </c>
      <c r="D46" s="5">
        <v>12</v>
      </c>
      <c r="E46" s="9" t="s">
        <v>44</v>
      </c>
      <c r="F46" s="8" t="s">
        <v>166</v>
      </c>
      <c r="G46" s="9" t="s">
        <v>167</v>
      </c>
      <c r="H46" s="8" t="str">
        <f>"000202"</f>
        <v>000202</v>
      </c>
      <c r="I46" s="7">
        <v>43120</v>
      </c>
      <c r="J46" s="8" t="str">
        <f>"000052"</f>
        <v>000052</v>
      </c>
      <c r="K46" s="7">
        <v>43372</v>
      </c>
      <c r="L46" s="8" t="str">
        <f>"000202"</f>
        <v>000202</v>
      </c>
      <c r="M46" s="7">
        <v>43372</v>
      </c>
      <c r="N46" s="8">
        <v>18</v>
      </c>
      <c r="O46" s="8" t="str">
        <f>"006670"</f>
        <v>006670</v>
      </c>
      <c r="P46" s="7">
        <v>43805</v>
      </c>
      <c r="Q46" s="10">
        <v>49.583939999999998</v>
      </c>
      <c r="R46" s="10">
        <v>4.0163000000000002</v>
      </c>
      <c r="S46" s="10">
        <v>45.567639999999997</v>
      </c>
      <c r="T46" s="8">
        <v>13</v>
      </c>
      <c r="U46" s="7">
        <v>43809</v>
      </c>
      <c r="V46" s="8">
        <v>9845736688</v>
      </c>
      <c r="W46" s="9" t="s">
        <v>43</v>
      </c>
      <c r="X46" s="8" t="s">
        <v>98</v>
      </c>
      <c r="Y46" s="9" t="s">
        <v>99</v>
      </c>
      <c r="Z46" s="8" t="s">
        <v>48</v>
      </c>
      <c r="AA46" s="9" t="s">
        <v>49</v>
      </c>
      <c r="AB46" s="10">
        <v>0.49583939999999999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2020-01-28T11:32:29Z</dcterms:modified>
</cp:coreProperties>
</file>