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1" l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<sst xmlns="http://schemas.openxmlformats.org/spreadsheetml/2006/main" count="613" uniqueCount="220">
  <si>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</si>
  <si>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</si>
  <si>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</si>
  <si>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</si>
  <si>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</si>
  <si>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</si>
  <si>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</si>
  <si>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</si>
  <si>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</si>
  <si>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</si>
  <si>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</si>
  <si>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</si>
  <si>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</si>
  <si>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</si>
  <si>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</si>
  <si>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</si>
  <si>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</si>
  <si>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</si>
  <si>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</si>
  <si>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</si>
  <si>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</si>
  <si>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</si>
  <si>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</si>
  <si>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</si>
  <si>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</si>
  <si>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</si>
  <si>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</si>
  <si>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</si>
  <si>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</si>
  <si>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P1802</t>
  </si>
  <si>
    <t>Water Supply New Areas</t>
  </si>
  <si>
    <t>P0300</t>
  </si>
  <si>
    <t>M and R to Street Lights - Replacement of Burnt Bulbs etc. (Package)</t>
  </si>
  <si>
    <t>P3158</t>
  </si>
  <si>
    <t>SIP Infrastructure Project works</t>
  </si>
  <si>
    <t>June</t>
  </si>
  <si>
    <t>P1771</t>
  </si>
  <si>
    <t>Zone Works - POW Works</t>
  </si>
  <si>
    <t>May</t>
  </si>
  <si>
    <t>P2415</t>
  </si>
  <si>
    <t>Reserve fund for TandF Committee</t>
  </si>
  <si>
    <t>P3089</t>
  </si>
  <si>
    <t>Special Development works in 7 CMC and 1 TMC area in BBMP</t>
  </si>
  <si>
    <t>18per - Works (Bhagyajyothi, Sooru / Neeru Yojane and General) (54 Lakhs / New Wards)</t>
  </si>
  <si>
    <t>P1878</t>
  </si>
  <si>
    <t>P3106</t>
  </si>
  <si>
    <t>Nagarothana Works</t>
  </si>
  <si>
    <t>P0190</t>
  </si>
  <si>
    <t>Works sanctioned by Hon Mayor</t>
  </si>
  <si>
    <t>P3290</t>
  </si>
  <si>
    <t>14th Finance Commission Works - Providing Street Lights and Maintenance</t>
  </si>
  <si>
    <t>P3111</t>
  </si>
  <si>
    <t>State Finance Commission Untied Grant Works</t>
  </si>
  <si>
    <t>P3176</t>
  </si>
  <si>
    <t>Developmental works in Ward No. 82, 06,16,44,70,17,26,13,79,35 ( Rs. 300.00 lakhs per each ward)</t>
  </si>
  <si>
    <t>P2652</t>
  </si>
  <si>
    <t>Contribution to Community Benefits</t>
  </si>
  <si>
    <t>P3293</t>
  </si>
  <si>
    <t>14th Finance Commission Works - Drinking Water</t>
  </si>
  <si>
    <t>P3295</t>
  </si>
  <si>
    <t>14th Finance Commission Works - UGD Works</t>
  </si>
  <si>
    <t>KRIDL</t>
  </si>
  <si>
    <t>ddo462</t>
  </si>
  <si>
    <t xml:space="preserve"> Assistant Executive Engineer Shettihalli Dasarahalli Zone</t>
  </si>
  <si>
    <t>ddo466</t>
  </si>
  <si>
    <t xml:space="preserve"> Assistant Executive Engineer Electrical Dasarahalli Zone</t>
  </si>
  <si>
    <t>Mallasandra</t>
  </si>
  <si>
    <t>013-17-000079</t>
  </si>
  <si>
    <t>Drilling of borewell in ward no13 in shettyhalli sud division</t>
  </si>
  <si>
    <t>013-17-000031</t>
  </si>
  <si>
    <t>Maintenance of footpath and construction of SSM wall and kerb in ward no 13 in Shettyhalli Sub division</t>
  </si>
  <si>
    <t>N THIPPESWAMY</t>
  </si>
  <si>
    <t>013-17-000030</t>
  </si>
  <si>
    <t>Improvments of RCC Drains 24th cross near pipeline road BHEL mini colony in Mallasandra in ward no 13 in Shettyhalli sub div</t>
  </si>
  <si>
    <t>013-17-000033</t>
  </si>
  <si>
    <t>Providing Street lights and electrical poles in ward no 13 in Shettyhalli Sub division</t>
  </si>
  <si>
    <t>M/s SRINATH ELECTRICALS</t>
  </si>
  <si>
    <t>013-18-000076</t>
  </si>
  <si>
    <t>Civil works and Other Development Works at Dog Kennel In Mallasandra ward No.13</t>
  </si>
  <si>
    <t xml:space="preserve">Sri. Madhava Reddy.K                   </t>
  </si>
  <si>
    <t>P3316</t>
  </si>
  <si>
    <t>Special Development works at ward No.82, 6, 16, 44, 70, 17, 26, 13, 79, 35 Rs.8.00 Cr each</t>
  </si>
  <si>
    <t>ddo464</t>
  </si>
  <si>
    <t xml:space="preserve"> Assistant Executive Engineer Project - 1 Dasarahalli Zone</t>
  </si>
  <si>
    <t>013-17-000065</t>
  </si>
  <si>
    <t>Construction Of Building For Indoor Games At Sy No.33 in Mallasandra Sy No.33 In Ward No.13</t>
  </si>
  <si>
    <t>013-17-000066</t>
  </si>
  <si>
    <t>Construction Of Yoga Center Building at Proposed Park in Mallasandra Sy No.33 In Ward No.13</t>
  </si>
  <si>
    <t>013-17-000057</t>
  </si>
  <si>
    <t>Construction of RCC Drain in Right Side Shooting Building Road At Ravindra Nagar Ward No.13 Mallasandra Shettyhalli Sub Division.</t>
  </si>
  <si>
    <t>013-18-000043</t>
  </si>
  <si>
    <t>Construction of culverts and Improvements road at Ravindra Nagara Slum  ward no 13 Shettyhalli sub division</t>
  </si>
  <si>
    <t xml:space="preserve">KRIDL,       </t>
  </si>
  <si>
    <t>013-18-000042</t>
  </si>
  <si>
    <t>Construction of concrete retaining wall at BHEL mini colony slum in Mallasandra ward no 13</t>
  </si>
  <si>
    <t>The Technical Manager,  KRIDL,</t>
  </si>
  <si>
    <t>013-16-000001</t>
  </si>
  <si>
    <t>Operation and Maintenance of stree light at Ward No.13  Mallasandra Package        D-3</t>
  </si>
  <si>
    <t>M/s M.P Electricals</t>
  </si>
  <si>
    <t>013-16-000032</t>
  </si>
  <si>
    <t>Improvements  and Asphalting to main and cross roads at  BHEL Mini colony in ward no 13 Shettyhalli Sub Division</t>
  </si>
  <si>
    <t>RAVIKUMAR BT</t>
  </si>
  <si>
    <t>013-16-000033</t>
  </si>
  <si>
    <t>Improvements  and Asphalting to main and cross roads  in Mathrushree Layout and other roads  in ward no 13 Shettyhalli Sub Division</t>
  </si>
  <si>
    <t>013-16-000030</t>
  </si>
  <si>
    <t>Improvements to main and cross roads at Kalyana Nagara in ward no 13</t>
  </si>
  <si>
    <t>013-18-000082</t>
  </si>
  <si>
    <t>Developments UGD works in Mallasandra ward no 13 in Shettyhalli Sub Division</t>
  </si>
  <si>
    <t>013-18-000080</t>
  </si>
  <si>
    <t>Providing LED lights at Mallasandra ward no 13</t>
  </si>
  <si>
    <t>THE TECHNICAL MANAGER -2(BBMP) KRIDL</t>
  </si>
  <si>
    <t>013-19-000008</t>
  </si>
  <si>
    <t>Comprehensive development work in ward No. 13</t>
  </si>
  <si>
    <t>013-17-000038</t>
  </si>
  <si>
    <t>Providing Consultancy Services for Construction, Supervision, Project Management and Quality Control for the work of package -01 1) Development of roads in Hoysala nagara, Sanajeevininagara, Maruthinagara in ward nO.71 Dasarahalli 2) Development and Improvements to works in Mallasandra Ward No.13</t>
  </si>
  <si>
    <t>M/s Newzen Consultants Bangalore</t>
  </si>
  <si>
    <t>013-18-000081</t>
  </si>
  <si>
    <t>Providing Drinking Water Facilities in ward no 13 in Shettyhalli Sub Division</t>
  </si>
  <si>
    <t>013-18-000083</t>
  </si>
  <si>
    <t>Improvements of UGD Lines in ward no 13 in Shettyhalli Sub Division</t>
  </si>
  <si>
    <t>013-17-000032</t>
  </si>
  <si>
    <t>Providing new boards and repaint the boards in ward no 13 in Shettyhalli Sub division</t>
  </si>
  <si>
    <t>Mohan kumar V</t>
  </si>
  <si>
    <t>013-18-000044</t>
  </si>
  <si>
    <t>Development works at out door stadium in pks colony Slum in ward no.13</t>
  </si>
  <si>
    <t xml:space="preserve">The Technical Manager,  KRIDL, </t>
  </si>
  <si>
    <t>013-18-000239</t>
  </si>
  <si>
    <t>Construction of compund wall to Indira canteen at pipeline line road in ward no.13 Shettyhalli sub division</t>
  </si>
  <si>
    <t>B.J Kumar</t>
  </si>
  <si>
    <t>013-17-000034</t>
  </si>
  <si>
    <t>Removals of silt and debris in ward no 13 in Shettyhalli Sub division</t>
  </si>
  <si>
    <t>UMESH N</t>
  </si>
  <si>
    <t>Operation and Maintenance of stree light at Ward No.13 Mallasandra Package D-3</t>
  </si>
  <si>
    <t>013-17-000077</t>
  </si>
  <si>
    <t>Construction of RCC drains and roads 3rd main and other roads at Ravindra Nagar in ward no 13 Shettyhalli Sub Division</t>
  </si>
  <si>
    <t>013-17-000074</t>
  </si>
  <si>
    <t>Improvements To CC Roads At Near Mallikarjuna Swamy Temple Surrounding Area in W.13 Shettyhalli Sub Division</t>
  </si>
  <si>
    <t>013-17-000078</t>
  </si>
  <si>
    <t>Construction of RCC drains and CC roads at Lake view layout and Defence colony in Mallasandra ward no 13 Shettyhalli Sub Division</t>
  </si>
  <si>
    <t>013-17-000062</t>
  </si>
  <si>
    <t>Construction of RCC Drains at Kuvempu School Road Mallasandra in Ward no 13 Shettyhalli Sub Division</t>
  </si>
  <si>
    <t>013-17-000055</t>
  </si>
  <si>
    <t>Improvements Of CC Roads in Panchamuki Ganesha Temple Surrounding Area in Mallasandra Ward No.13 Shettyhalli Sub-Division</t>
  </si>
  <si>
    <t>July</t>
  </si>
  <si>
    <t>013-17-000045</t>
  </si>
  <si>
    <t>Ward Development works in ward no 13 Mallasandra</t>
  </si>
  <si>
    <t>P3181</t>
  </si>
  <si>
    <t>Developmental Works in Ward no 183, 29, 190, 177, 168, 13, 14, 3, 4, 89, 27, 126 and 132</t>
  </si>
  <si>
    <t>013-17-000082</t>
  </si>
  <si>
    <t>Development works in ward no 13 Mallasandra</t>
  </si>
  <si>
    <t>013-18-000048</t>
  </si>
  <si>
    <t>Improvements roads and drains near Mallikarjuna temple Pks colony in Mallasandra ward no.13 Shettyhalli Sub division</t>
  </si>
  <si>
    <t>013-18-000041</t>
  </si>
  <si>
    <t>Providing Street lights and electrical poles in ward no 13 Shettyhalli sub division</t>
  </si>
  <si>
    <t>M/s Sri Lakshmi Narasimha Electricals</t>
  </si>
  <si>
    <t>013-19-000013</t>
  </si>
  <si>
    <t>Construction of General public toilet in Mallasandra colony school in ward no 13 Mallasandra Shettyhalli sub division</t>
  </si>
  <si>
    <t>Sri Muniraj Naik</t>
  </si>
  <si>
    <t>P3294</t>
  </si>
  <si>
    <t>14th Finance Commission Works - General Public ToiletandSeptage Maintenance</t>
  </si>
  <si>
    <t>013-18-000011</t>
  </si>
  <si>
    <t>Construction of RCC drains and Footpath in Shooting Building Road at Ravindra Nagar in ward no 13 Shettyhalli Sub Division</t>
  </si>
  <si>
    <t>013-18-000012</t>
  </si>
  <si>
    <t>Improvmeents of Roads in Mallasandra in ward no 13 Shettyhalli Sub Division .</t>
  </si>
  <si>
    <t>013-18-000018</t>
  </si>
  <si>
    <t>Improvements to Roads and Asphalting at Kuvempu School road and other roads in Mallasandra ward no 13 in Shettyhalli Sub-Division</t>
  </si>
  <si>
    <t>P3336</t>
  </si>
  <si>
    <t>Special Development works at Ward No.63,84,86,112,144 ( 05 wards Rs.10.00 Cr. Each) and Ward no.60,80,113,122 ( 04 wards Rs.11.00 Cr. Each)</t>
  </si>
  <si>
    <t>013-18-000016</t>
  </si>
  <si>
    <t>Improvements to Roads and Asphalting at Pipeline road Right side and other roads in Mallasandra ward no 13 in Shettyhalli Sub-Division</t>
  </si>
  <si>
    <t>013-18-000019</t>
  </si>
  <si>
    <t>Construction and Improvements of Culverts in ward no 13 in Shettyhalli Sub-Division</t>
  </si>
  <si>
    <t>013-18-000017</t>
  </si>
  <si>
    <t>Improvements to Roads and Asphalting at Pipeline road Left side and other roads in Mallasandra ward no 13 in Shettyhalli Sub-Division</t>
  </si>
  <si>
    <t>013-18-000014</t>
  </si>
  <si>
    <t>Improvements to Roads and Asphalting at pipeline road to Maheshwaramma Temple and other roads in Mallasandra ward no 13 in Shettyhalli Sub-Division</t>
  </si>
  <si>
    <t>013-18-000009</t>
  </si>
  <si>
    <t>Improvements of RCC Drain and CC Roads at Muneshwara Block in ward no 13 Shettyhalli Sub Division.</t>
  </si>
  <si>
    <t>013-18-000010</t>
  </si>
  <si>
    <t>Construction of RCC Drains at Prashanth Nagara, Mathrushri Layout and other roads in ward no 13 Shettyhalli Sub Division.</t>
  </si>
  <si>
    <t>August</t>
  </si>
  <si>
    <t>013-17-000095</t>
  </si>
  <si>
    <t>Construction of Sheltar and Power Conection For Shredder in Mallasandra Park,Mallasandra</t>
  </si>
  <si>
    <t xml:space="preserve">Sri.Sanjay kumar.M.S (Vignesh Enterprises), </t>
  </si>
  <si>
    <t>September</t>
  </si>
  <si>
    <t>013-17-000092</t>
  </si>
  <si>
    <t>Providing CC Camera at Garbage Block Spots in ward no 13</t>
  </si>
  <si>
    <t>Kemparaju S</t>
  </si>
  <si>
    <t>P3110</t>
  </si>
  <si>
    <t>14th Finance Commission Grant Works</t>
  </si>
  <si>
    <t>013-19-000020</t>
  </si>
  <si>
    <t>Providing CC Camera at Mallasandra colony and other area block spots in ward no 13 Shettyhalli sub division</t>
  </si>
  <si>
    <t>Kumara BJ</t>
  </si>
  <si>
    <t>P3298</t>
  </si>
  <si>
    <t>14th Finance Commission Works - SWM Works</t>
  </si>
  <si>
    <t>013-18-000104</t>
  </si>
  <si>
    <t>Providing and fixing LED Street light I n Kalyana Nagara and surrounding area in ward no 13 Mallasandra</t>
  </si>
  <si>
    <t>THE TECHNICAL MANAGER-2(BBMP) KRIDL</t>
  </si>
  <si>
    <t>013-18-000105</t>
  </si>
  <si>
    <t>Providing and fixing LED Street light in Prashantha Nagara and surrounding area in ward no 13 Mallasandra</t>
  </si>
  <si>
    <t>October</t>
  </si>
  <si>
    <t>013-18-000030</t>
  </si>
  <si>
    <t>Construction RCC drains at 6th cross in santhosh nagara and other roads in ward no13 Shettyhalli sub division</t>
  </si>
  <si>
    <t>Nischal K Lakshman</t>
  </si>
  <si>
    <t>013-18-000032</t>
  </si>
  <si>
    <t>Construction RCC drains at 8th cross left side in santhosh nagara in ward no13 Shettyhalli sub division</t>
  </si>
  <si>
    <t>013-18-000033</t>
  </si>
  <si>
    <t>Construction RCC drains at 8th cross Right side in santhosh nagara in ward no13 Shettyhalli sub division</t>
  </si>
  <si>
    <t>013-18-000031</t>
  </si>
  <si>
    <t>Construction RCC drains at 7th cross in santhosh nagara and other roads in ward no13 Shettyhalli sub division</t>
  </si>
  <si>
    <t>Nischal K Lakhman</t>
  </si>
  <si>
    <t>November</t>
  </si>
  <si>
    <t>December</t>
  </si>
  <si>
    <t xml:space="preserve"> M/s Newzen Consultants Bengalore </t>
  </si>
  <si>
    <t>013-18-000085</t>
  </si>
  <si>
    <t>Providing CC Camera at Mallasandra BHEL Mini colony Vijayalakshmi layout Ravindra Nagara and other Area block Spots in Mallasandra ward no 13 in Shettyhalli Sub Division</t>
  </si>
  <si>
    <t>013-18-000086</t>
  </si>
  <si>
    <t>Providing CC Camera at Santhosh Nagara Prashanth Nagara Kalyana Nagara Pipeline and other area block Spots in Mallasandra ward no 13 in Shettyhalli Sub Division</t>
  </si>
  <si>
    <t>013-18-000060</t>
  </si>
  <si>
    <t>Providing basic amenities, procurement of dustbins and SWM works in ward No.13, Mallasandra.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</si>
</sst>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abSelected="1" topLeftCell="A61" workbookViewId="0">
      <selection activeCell="A2" sqref="A2:XFD6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521</v>
      </c>
      <c r="B2" s="6" t="s">
        <v>28</v>
      </c>
      <c r="C2" s="7">
        <v>43566</v>
      </c>
      <c r="D2" s="8">
        <v>13</v>
      </c>
      <c r="E2" s="9" t="s">
        <v>66</v>
      </c>
      <c r="F2" s="8" t="s">
        <v>67</v>
      </c>
      <c r="G2" s="9" t="s">
        <v>68</v>
      </c>
      <c r="H2" s="8" t="str">
        <f>"000161"</f>
        <v>000161</v>
      </c>
      <c r="I2" s="7">
        <v>43096</v>
      </c>
      <c r="J2" s="8" t="str">
        <f>"000013"</f>
        <v>000013</v>
      </c>
      <c r="K2" s="7">
        <v>43245</v>
      </c>
      <c r="L2" s="8" t="str">
        <f>"000073"</f>
        <v>000073</v>
      </c>
      <c r="M2" s="7">
        <v>43262</v>
      </c>
      <c r="N2" s="8">
        <v>17</v>
      </c>
      <c r="O2" s="8" t="str">
        <f>"000260"</f>
        <v>000260</v>
      </c>
      <c r="P2" s="7">
        <v>43564</v>
      </c>
      <c r="Q2" s="10">
        <v>39.310479999999998</v>
      </c>
      <c r="R2" s="10">
        <v>3.26241</v>
      </c>
      <c r="S2" s="10">
        <v>36.048070000000003</v>
      </c>
      <c r="T2" s="8">
        <v>11</v>
      </c>
      <c r="U2" s="7">
        <v>43566</v>
      </c>
      <c r="V2" s="8">
        <v>8105878312</v>
      </c>
      <c r="W2" s="9" t="s">
        <v>61</v>
      </c>
      <c r="X2" s="8" t="s">
        <v>29</v>
      </c>
      <c r="Y2" s="9" t="s">
        <v>30</v>
      </c>
      <c r="Z2" s="8" t="s">
        <v>62</v>
      </c>
      <c r="AA2" s="9" t="s">
        <v>63</v>
      </c>
      <c r="AB2" s="10">
        <f t="shared" ref="AB2:AB22" si="0">Q2/100</f>
        <v>0.39310479999999998</v>
      </c>
    </row>
    <row r="3" spans="1:28" s="4" customFormat="1" ht="13" x14ac:dyDescent="0.3">
      <c r="A3" s="5">
        <v>522</v>
      </c>
      <c r="B3" s="6" t="s">
        <v>28</v>
      </c>
      <c r="C3" s="7">
        <v>43566</v>
      </c>
      <c r="D3" s="8">
        <v>13</v>
      </c>
      <c r="E3" s="9" t="s">
        <v>66</v>
      </c>
      <c r="F3" s="8" t="s">
        <v>69</v>
      </c>
      <c r="G3" s="9" t="s">
        <v>70</v>
      </c>
      <c r="H3" s="8" t="str">
        <f>"000021"</f>
        <v>000021</v>
      </c>
      <c r="I3" s="7">
        <v>42835</v>
      </c>
      <c r="J3" s="8" t="str">
        <f>"000067"</f>
        <v>000067</v>
      </c>
      <c r="K3" s="7">
        <v>42916</v>
      </c>
      <c r="L3" s="8" t="str">
        <f>"000183"</f>
        <v>000183</v>
      </c>
      <c r="M3" s="7">
        <v>42916</v>
      </c>
      <c r="N3" s="8">
        <v>17</v>
      </c>
      <c r="O3" s="8" t="str">
        <f>"000115"</f>
        <v>000115</v>
      </c>
      <c r="P3" s="7">
        <v>43563</v>
      </c>
      <c r="Q3" s="10">
        <v>8.2707899999999999</v>
      </c>
      <c r="R3" s="10">
        <v>0.6079</v>
      </c>
      <c r="S3" s="10">
        <v>7.66289</v>
      </c>
      <c r="T3" s="8">
        <v>12</v>
      </c>
      <c r="U3" s="7">
        <v>43566</v>
      </c>
      <c r="V3" s="8">
        <v>9880404202</v>
      </c>
      <c r="W3" s="9" t="s">
        <v>71</v>
      </c>
      <c r="X3" s="8" t="s">
        <v>36</v>
      </c>
      <c r="Y3" s="9" t="s">
        <v>37</v>
      </c>
      <c r="Z3" s="8" t="s">
        <v>62</v>
      </c>
      <c r="AA3" s="9" t="s">
        <v>63</v>
      </c>
      <c r="AB3" s="10">
        <f t="shared" si="0"/>
        <v>8.2707900000000001E-2</v>
      </c>
    </row>
    <row r="4" spans="1:28" s="4" customFormat="1" ht="13" x14ac:dyDescent="0.3">
      <c r="A4" s="5">
        <v>523</v>
      </c>
      <c r="B4" s="6" t="s">
        <v>28</v>
      </c>
      <c r="C4" s="7">
        <v>43566</v>
      </c>
      <c r="D4" s="8">
        <v>13</v>
      </c>
      <c r="E4" s="9" t="s">
        <v>66</v>
      </c>
      <c r="F4" s="8" t="s">
        <v>72</v>
      </c>
      <c r="G4" s="9" t="s">
        <v>73</v>
      </c>
      <c r="H4" s="8" t="str">
        <f>"000029"</f>
        <v>000029</v>
      </c>
      <c r="I4" s="7">
        <v>42835</v>
      </c>
      <c r="J4" s="8" t="str">
        <f>"000066"</f>
        <v>000066</v>
      </c>
      <c r="K4" s="7">
        <v>42916</v>
      </c>
      <c r="L4" s="8" t="str">
        <f>"000184"</f>
        <v>000184</v>
      </c>
      <c r="M4" s="7">
        <v>42916</v>
      </c>
      <c r="N4" s="8">
        <v>17</v>
      </c>
      <c r="O4" s="8" t="str">
        <f>"000116"</f>
        <v>000116</v>
      </c>
      <c r="P4" s="7">
        <v>43563</v>
      </c>
      <c r="Q4" s="10">
        <v>17.370889999999999</v>
      </c>
      <c r="R4" s="10">
        <v>1.2767599999999999</v>
      </c>
      <c r="S4" s="10">
        <v>16.09413</v>
      </c>
      <c r="T4" s="8">
        <v>12</v>
      </c>
      <c r="U4" s="7">
        <v>43566</v>
      </c>
      <c r="V4" s="8">
        <v>9880404202</v>
      </c>
      <c r="W4" s="9" t="s">
        <v>71</v>
      </c>
      <c r="X4" s="8" t="s">
        <v>36</v>
      </c>
      <c r="Y4" s="9" t="s">
        <v>37</v>
      </c>
      <c r="Z4" s="8" t="s">
        <v>62</v>
      </c>
      <c r="AA4" s="9" t="s">
        <v>63</v>
      </c>
      <c r="AB4" s="10">
        <f t="shared" si="0"/>
        <v>0.1737089</v>
      </c>
    </row>
    <row r="5" spans="1:28" s="4" customFormat="1" ht="13" x14ac:dyDescent="0.3">
      <c r="A5" s="5">
        <v>524</v>
      </c>
      <c r="B5" s="6" t="s">
        <v>28</v>
      </c>
      <c r="C5" s="7">
        <v>43575</v>
      </c>
      <c r="D5" s="8">
        <v>13</v>
      </c>
      <c r="E5" s="9" t="s">
        <v>66</v>
      </c>
      <c r="F5" s="8" t="s">
        <v>74</v>
      </c>
      <c r="G5" s="9" t="s">
        <v>75</v>
      </c>
      <c r="H5" s="8" t="str">
        <f>"000009"</f>
        <v>000009</v>
      </c>
      <c r="I5" s="7">
        <v>43047</v>
      </c>
      <c r="J5" s="8" t="str">
        <f>"000019"</f>
        <v>000019</v>
      </c>
      <c r="K5" s="7">
        <v>43111</v>
      </c>
      <c r="L5" s="8" t="str">
        <f>"000019"</f>
        <v>000019</v>
      </c>
      <c r="M5" s="7">
        <v>43112</v>
      </c>
      <c r="N5" s="8">
        <v>17</v>
      </c>
      <c r="O5" s="8" t="str">
        <f>"000483"</f>
        <v>000483</v>
      </c>
      <c r="P5" s="7">
        <v>43567</v>
      </c>
      <c r="Q5" s="10">
        <v>17.411750000000001</v>
      </c>
      <c r="R5" s="10">
        <v>0.53985000000000005</v>
      </c>
      <c r="S5" s="10">
        <v>16.8719</v>
      </c>
      <c r="T5" s="8">
        <v>21</v>
      </c>
      <c r="U5" s="7">
        <v>43575</v>
      </c>
      <c r="V5" s="8">
        <v>9845860866</v>
      </c>
      <c r="W5" s="9" t="s">
        <v>76</v>
      </c>
      <c r="X5" s="8" t="s">
        <v>36</v>
      </c>
      <c r="Y5" s="9" t="s">
        <v>37</v>
      </c>
      <c r="Z5" s="8" t="s">
        <v>64</v>
      </c>
      <c r="AA5" s="9" t="s">
        <v>65</v>
      </c>
      <c r="AB5" s="10">
        <f t="shared" si="0"/>
        <v>0.17411750000000001</v>
      </c>
    </row>
    <row r="6" spans="1:28" s="4" customFormat="1" ht="13" x14ac:dyDescent="0.3">
      <c r="A6" s="5">
        <v>525</v>
      </c>
      <c r="B6" s="6" t="s">
        <v>28</v>
      </c>
      <c r="C6" s="7">
        <v>43580</v>
      </c>
      <c r="D6" s="8">
        <v>13</v>
      </c>
      <c r="E6" s="9" t="s">
        <v>66</v>
      </c>
      <c r="F6" s="8" t="s">
        <v>77</v>
      </c>
      <c r="G6" s="9" t="s">
        <v>78</v>
      </c>
      <c r="H6" s="8" t="str">
        <f>"000039"</f>
        <v>000039</v>
      </c>
      <c r="I6" s="7">
        <v>43159</v>
      </c>
      <c r="J6" s="8" t="str">
        <f>"000012"</f>
        <v>000012</v>
      </c>
      <c r="K6" s="7">
        <v>43292</v>
      </c>
      <c r="L6" s="8" t="str">
        <f>"000013"</f>
        <v>000013</v>
      </c>
      <c r="M6" s="7">
        <v>43292</v>
      </c>
      <c r="N6" s="8">
        <v>18</v>
      </c>
      <c r="O6" s="8" t="str">
        <f>"000949"</f>
        <v>000949</v>
      </c>
      <c r="P6" s="7">
        <v>43579</v>
      </c>
      <c r="Q6" s="10">
        <v>43.079140000000002</v>
      </c>
      <c r="R6" s="10">
        <v>1.37853</v>
      </c>
      <c r="S6" s="10">
        <v>41.700609999999998</v>
      </c>
      <c r="T6" s="8">
        <v>27</v>
      </c>
      <c r="U6" s="7">
        <v>43580</v>
      </c>
      <c r="V6" s="8">
        <v>9972373635</v>
      </c>
      <c r="W6" s="9" t="s">
        <v>79</v>
      </c>
      <c r="X6" s="8" t="s">
        <v>80</v>
      </c>
      <c r="Y6" s="9" t="s">
        <v>81</v>
      </c>
      <c r="Z6" s="8" t="s">
        <v>82</v>
      </c>
      <c r="AA6" s="9" t="s">
        <v>83</v>
      </c>
      <c r="AB6" s="10">
        <f t="shared" si="0"/>
        <v>0.43079140000000005</v>
      </c>
    </row>
    <row r="7" spans="1:28" s="4" customFormat="1" ht="13" x14ac:dyDescent="0.3">
      <c r="A7" s="5">
        <v>526</v>
      </c>
      <c r="B7" s="6" t="s">
        <v>28</v>
      </c>
      <c r="C7" s="7">
        <v>43580</v>
      </c>
      <c r="D7" s="8">
        <v>13</v>
      </c>
      <c r="E7" s="9" t="s">
        <v>66</v>
      </c>
      <c r="F7" s="8" t="s">
        <v>84</v>
      </c>
      <c r="G7" s="9" t="s">
        <v>85</v>
      </c>
      <c r="H7" s="8" t="str">
        <f>"000002"</f>
        <v>000002</v>
      </c>
      <c r="I7" s="7">
        <v>43033</v>
      </c>
      <c r="J7" s="8" t="str">
        <f>"000014"</f>
        <v>000014</v>
      </c>
      <c r="K7" s="7">
        <v>43294</v>
      </c>
      <c r="L7" s="8" t="str">
        <f>"000014"</f>
        <v>000014</v>
      </c>
      <c r="M7" s="7">
        <v>43297</v>
      </c>
      <c r="N7" s="8">
        <v>17</v>
      </c>
      <c r="O7" s="8" t="str">
        <f>"000950"</f>
        <v>000950</v>
      </c>
      <c r="P7" s="7">
        <v>43579</v>
      </c>
      <c r="Q7" s="10">
        <v>70.015990000000002</v>
      </c>
      <c r="R7" s="10">
        <v>6.4401900000000003</v>
      </c>
      <c r="S7" s="10">
        <v>63.575800000000001</v>
      </c>
      <c r="T7" s="8">
        <v>27</v>
      </c>
      <c r="U7" s="7">
        <v>43580</v>
      </c>
      <c r="V7" s="8">
        <v>9448507053</v>
      </c>
      <c r="W7" s="9" t="s">
        <v>61</v>
      </c>
      <c r="X7" s="8" t="s">
        <v>53</v>
      </c>
      <c r="Y7" s="9" t="s">
        <v>54</v>
      </c>
      <c r="Z7" s="8" t="s">
        <v>82</v>
      </c>
      <c r="AA7" s="9" t="s">
        <v>83</v>
      </c>
      <c r="AB7" s="10">
        <f t="shared" si="0"/>
        <v>0.70015990000000006</v>
      </c>
    </row>
    <row r="8" spans="1:28" s="4" customFormat="1" ht="13" x14ac:dyDescent="0.3">
      <c r="A8" s="5">
        <v>527</v>
      </c>
      <c r="B8" s="6" t="s">
        <v>28</v>
      </c>
      <c r="C8" s="7">
        <v>43580</v>
      </c>
      <c r="D8" s="8">
        <v>13</v>
      </c>
      <c r="E8" s="9" t="s">
        <v>66</v>
      </c>
      <c r="F8" s="8" t="s">
        <v>86</v>
      </c>
      <c r="G8" s="9" t="s">
        <v>87</v>
      </c>
      <c r="H8" s="8" t="str">
        <f>"000001"</f>
        <v>000001</v>
      </c>
      <c r="I8" s="7">
        <v>43033</v>
      </c>
      <c r="J8" s="8" t="str">
        <f>"000013"</f>
        <v>000013</v>
      </c>
      <c r="K8" s="7">
        <v>43294</v>
      </c>
      <c r="L8" s="8" t="str">
        <f>"000015"</f>
        <v>000015</v>
      </c>
      <c r="M8" s="7">
        <v>43297</v>
      </c>
      <c r="N8" s="8">
        <v>17</v>
      </c>
      <c r="O8" s="8" t="str">
        <f>"000951"</f>
        <v>000951</v>
      </c>
      <c r="P8" s="7">
        <v>43579</v>
      </c>
      <c r="Q8" s="10">
        <v>70.180760000000006</v>
      </c>
      <c r="R8" s="10">
        <v>6.4535299999999998</v>
      </c>
      <c r="S8" s="10">
        <v>63.727229999999999</v>
      </c>
      <c r="T8" s="8">
        <v>27</v>
      </c>
      <c r="U8" s="7">
        <v>43580</v>
      </c>
      <c r="V8" s="8">
        <v>9448507053</v>
      </c>
      <c r="W8" s="9" t="s">
        <v>61</v>
      </c>
      <c r="X8" s="8" t="s">
        <v>53</v>
      </c>
      <c r="Y8" s="9" t="s">
        <v>54</v>
      </c>
      <c r="Z8" s="8" t="s">
        <v>82</v>
      </c>
      <c r="AA8" s="9" t="s">
        <v>83</v>
      </c>
      <c r="AB8" s="10">
        <f t="shared" si="0"/>
        <v>0.70180760000000009</v>
      </c>
    </row>
    <row r="9" spans="1:28" s="4" customFormat="1" ht="13" x14ac:dyDescent="0.3">
      <c r="A9" s="5">
        <v>528</v>
      </c>
      <c r="B9" s="6" t="s">
        <v>28</v>
      </c>
      <c r="C9" s="7">
        <v>43580</v>
      </c>
      <c r="D9" s="8">
        <v>13</v>
      </c>
      <c r="E9" s="9" t="s">
        <v>66</v>
      </c>
      <c r="F9" s="8" t="s">
        <v>88</v>
      </c>
      <c r="G9" s="9" t="s">
        <v>89</v>
      </c>
      <c r="H9" s="8" t="str">
        <f>"00O054"</f>
        <v>00O054</v>
      </c>
      <c r="I9" s="7">
        <v>42857</v>
      </c>
      <c r="J9" s="8" t="str">
        <f>"000064"</f>
        <v>000064</v>
      </c>
      <c r="K9" s="7">
        <v>42916</v>
      </c>
      <c r="L9" s="8" t="str">
        <f>"000172"</f>
        <v>000172</v>
      </c>
      <c r="M9" s="7">
        <v>42916</v>
      </c>
      <c r="N9" s="8">
        <v>17</v>
      </c>
      <c r="O9" s="8" t="str">
        <f>"000846"</f>
        <v>000846</v>
      </c>
      <c r="P9" s="7">
        <v>43578</v>
      </c>
      <c r="Q9" s="10">
        <v>49.855980000000002</v>
      </c>
      <c r="R9" s="10">
        <v>6.5538999999999996</v>
      </c>
      <c r="S9" s="10">
        <v>43.302079999999997</v>
      </c>
      <c r="T9" s="8">
        <v>28</v>
      </c>
      <c r="U9" s="7">
        <v>43580</v>
      </c>
      <c r="V9" s="8">
        <v>9449219009</v>
      </c>
      <c r="W9" s="9" t="s">
        <v>61</v>
      </c>
      <c r="X9" s="8" t="s">
        <v>39</v>
      </c>
      <c r="Y9" s="9" t="s">
        <v>40</v>
      </c>
      <c r="Z9" s="8" t="s">
        <v>62</v>
      </c>
      <c r="AA9" s="9" t="s">
        <v>63</v>
      </c>
      <c r="AB9" s="10">
        <f t="shared" si="0"/>
        <v>0.4985598</v>
      </c>
    </row>
    <row r="10" spans="1:28" s="4" customFormat="1" ht="13" x14ac:dyDescent="0.3">
      <c r="A10" s="5">
        <v>529</v>
      </c>
      <c r="B10" s="6" t="s">
        <v>38</v>
      </c>
      <c r="C10" s="7">
        <v>43588</v>
      </c>
      <c r="D10" s="8">
        <v>13</v>
      </c>
      <c r="E10" s="9" t="s">
        <v>66</v>
      </c>
      <c r="F10" s="8" t="s">
        <v>113</v>
      </c>
      <c r="G10" s="9" t="s">
        <v>114</v>
      </c>
      <c r="H10" s="8" t="str">
        <f>"000030"</f>
        <v>000030</v>
      </c>
      <c r="I10" s="7">
        <v>43326</v>
      </c>
      <c r="J10" s="8" t="str">
        <f>"000086"</f>
        <v>000086</v>
      </c>
      <c r="K10" s="7">
        <v>43545</v>
      </c>
      <c r="L10" s="8" t="str">
        <f>"000340"</f>
        <v>000340</v>
      </c>
      <c r="M10" s="7">
        <v>43546</v>
      </c>
      <c r="N10" s="8">
        <v>17</v>
      </c>
      <c r="O10" s="8" t="str">
        <f>"001145"</f>
        <v>001145</v>
      </c>
      <c r="P10" s="7">
        <v>43581</v>
      </c>
      <c r="Q10" s="10">
        <v>6.16</v>
      </c>
      <c r="R10" s="10">
        <v>0.73919999999999997</v>
      </c>
      <c r="S10" s="10">
        <v>5.4207999999999998</v>
      </c>
      <c r="T10" s="8">
        <v>33</v>
      </c>
      <c r="U10" s="7">
        <v>43588</v>
      </c>
      <c r="V10" s="8">
        <v>9449219009</v>
      </c>
      <c r="W10" s="9" t="s">
        <v>115</v>
      </c>
      <c r="X10" s="8" t="s">
        <v>33</v>
      </c>
      <c r="Y10" s="9" t="s">
        <v>34</v>
      </c>
      <c r="Z10" s="8" t="s">
        <v>62</v>
      </c>
      <c r="AA10" s="9" t="s">
        <v>63</v>
      </c>
      <c r="AB10" s="10">
        <f t="shared" si="0"/>
        <v>6.1600000000000002E-2</v>
      </c>
    </row>
    <row r="11" spans="1:28" s="4" customFormat="1" ht="13" x14ac:dyDescent="0.3">
      <c r="A11" s="5">
        <v>530</v>
      </c>
      <c r="B11" s="6" t="s">
        <v>38</v>
      </c>
      <c r="C11" s="7">
        <v>43591</v>
      </c>
      <c r="D11" s="8">
        <v>13</v>
      </c>
      <c r="E11" s="9" t="s">
        <v>66</v>
      </c>
      <c r="F11" s="8" t="s">
        <v>116</v>
      </c>
      <c r="G11" s="9" t="s">
        <v>117</v>
      </c>
      <c r="H11" s="8" t="str">
        <f>"000288"</f>
        <v>000288</v>
      </c>
      <c r="I11" s="7">
        <v>43460</v>
      </c>
      <c r="J11" s="8" t="str">
        <f>"000084"</f>
        <v>000084</v>
      </c>
      <c r="K11" s="7">
        <v>43514</v>
      </c>
      <c r="L11" s="8" t="str">
        <f>"000328"</f>
        <v>000328</v>
      </c>
      <c r="M11" s="7">
        <v>43518</v>
      </c>
      <c r="N11" s="8">
        <v>18</v>
      </c>
      <c r="O11" s="8" t="str">
        <f>"001316"</f>
        <v>001316</v>
      </c>
      <c r="P11" s="7">
        <v>43588</v>
      </c>
      <c r="Q11" s="10">
        <v>29.835940000000001</v>
      </c>
      <c r="R11" s="10">
        <v>3.0743999999999998</v>
      </c>
      <c r="S11" s="10">
        <v>26.76154</v>
      </c>
      <c r="T11" s="8">
        <v>35</v>
      </c>
      <c r="U11" s="7">
        <v>43591</v>
      </c>
      <c r="V11" s="8">
        <v>8105878312</v>
      </c>
      <c r="W11" s="9" t="s">
        <v>61</v>
      </c>
      <c r="X11" s="8" t="s">
        <v>57</v>
      </c>
      <c r="Y11" s="9" t="s">
        <v>58</v>
      </c>
      <c r="Z11" s="8" t="s">
        <v>62</v>
      </c>
      <c r="AA11" s="9" t="s">
        <v>63</v>
      </c>
      <c r="AB11" s="10">
        <f t="shared" si="0"/>
        <v>0.2983594</v>
      </c>
    </row>
    <row r="12" spans="1:28" s="4" customFormat="1" ht="13" x14ac:dyDescent="0.3">
      <c r="A12" s="5">
        <v>531</v>
      </c>
      <c r="B12" s="6" t="s">
        <v>38</v>
      </c>
      <c r="C12" s="7">
        <v>43591</v>
      </c>
      <c r="D12" s="8">
        <v>13</v>
      </c>
      <c r="E12" s="9" t="s">
        <v>66</v>
      </c>
      <c r="F12" s="8" t="s">
        <v>118</v>
      </c>
      <c r="G12" s="9" t="s">
        <v>119</v>
      </c>
      <c r="H12" s="8" t="str">
        <f>"000294"</f>
        <v>000294</v>
      </c>
      <c r="I12" s="7">
        <v>43479</v>
      </c>
      <c r="J12" s="8" t="str">
        <f>"000085"</f>
        <v>000085</v>
      </c>
      <c r="K12" s="7">
        <v>43523</v>
      </c>
      <c r="L12" s="8" t="str">
        <f>"000333"</f>
        <v>000333</v>
      </c>
      <c r="M12" s="7">
        <v>43529</v>
      </c>
      <c r="N12" s="8">
        <v>18</v>
      </c>
      <c r="O12" s="8" t="str">
        <f>"001317"</f>
        <v>001317</v>
      </c>
      <c r="P12" s="7">
        <v>43588</v>
      </c>
      <c r="Q12" s="10">
        <v>49.966520000000003</v>
      </c>
      <c r="R12" s="10">
        <v>5.3517400000000004</v>
      </c>
      <c r="S12" s="10">
        <v>44.614780000000003</v>
      </c>
      <c r="T12" s="8">
        <v>35</v>
      </c>
      <c r="U12" s="7">
        <v>43591</v>
      </c>
      <c r="V12" s="8">
        <v>8105878312</v>
      </c>
      <c r="W12" s="9" t="s">
        <v>61</v>
      </c>
      <c r="X12" s="8" t="s">
        <v>59</v>
      </c>
      <c r="Y12" s="9" t="s">
        <v>60</v>
      </c>
      <c r="Z12" s="8" t="s">
        <v>62</v>
      </c>
      <c r="AA12" s="9" t="s">
        <v>63</v>
      </c>
      <c r="AB12" s="10">
        <f t="shared" si="0"/>
        <v>0.49966520000000003</v>
      </c>
    </row>
    <row r="13" spans="1:28" s="4" customFormat="1" ht="13" x14ac:dyDescent="0.3">
      <c r="A13" s="5">
        <v>532</v>
      </c>
      <c r="B13" s="6" t="s">
        <v>38</v>
      </c>
      <c r="C13" s="7">
        <v>43591</v>
      </c>
      <c r="D13" s="8">
        <v>13</v>
      </c>
      <c r="E13" s="9" t="s">
        <v>66</v>
      </c>
      <c r="F13" s="8" t="s">
        <v>120</v>
      </c>
      <c r="G13" s="9" t="s">
        <v>121</v>
      </c>
      <c r="H13" s="8" t="str">
        <f>"000139"</f>
        <v>000139</v>
      </c>
      <c r="I13" s="7">
        <v>42818</v>
      </c>
      <c r="J13" s="8" t="str">
        <f>"000068"</f>
        <v>000068</v>
      </c>
      <c r="K13" s="7">
        <v>42916</v>
      </c>
      <c r="L13" s="8" t="str">
        <f>"000185"</f>
        <v>000185</v>
      </c>
      <c r="M13" s="7">
        <v>42916</v>
      </c>
      <c r="N13" s="8">
        <v>17</v>
      </c>
      <c r="O13" s="8" t="str">
        <f>"001185"</f>
        <v>001185</v>
      </c>
      <c r="P13" s="7">
        <v>43582</v>
      </c>
      <c r="Q13" s="10">
        <v>8.6691099999999999</v>
      </c>
      <c r="R13" s="10">
        <v>0.55830999999999997</v>
      </c>
      <c r="S13" s="10">
        <v>8.1107999999999993</v>
      </c>
      <c r="T13" s="8">
        <v>37</v>
      </c>
      <c r="U13" s="7">
        <v>43591</v>
      </c>
      <c r="V13" s="8">
        <v>9449219009</v>
      </c>
      <c r="W13" s="9" t="s">
        <v>122</v>
      </c>
      <c r="X13" s="8" t="s">
        <v>36</v>
      </c>
      <c r="Y13" s="9" t="s">
        <v>37</v>
      </c>
      <c r="Z13" s="8" t="s">
        <v>62</v>
      </c>
      <c r="AA13" s="9" t="s">
        <v>63</v>
      </c>
      <c r="AB13" s="10">
        <f t="shared" si="0"/>
        <v>8.6691099999999993E-2</v>
      </c>
    </row>
    <row r="14" spans="1:28" s="4" customFormat="1" ht="13" x14ac:dyDescent="0.3">
      <c r="A14" s="5">
        <v>533</v>
      </c>
      <c r="B14" s="6" t="s">
        <v>38</v>
      </c>
      <c r="C14" s="7">
        <v>43591</v>
      </c>
      <c r="D14" s="8">
        <v>13</v>
      </c>
      <c r="E14" s="9" t="s">
        <v>66</v>
      </c>
      <c r="F14" s="8" t="s">
        <v>123</v>
      </c>
      <c r="G14" s="9" t="s">
        <v>124</v>
      </c>
      <c r="H14" s="8" t="str">
        <f>"000057"</f>
        <v>000057</v>
      </c>
      <c r="I14" s="7">
        <v>43186</v>
      </c>
      <c r="J14" s="8" t="str">
        <f>"000019"</f>
        <v>000019</v>
      </c>
      <c r="K14" s="7">
        <v>43372</v>
      </c>
      <c r="L14" s="8" t="str">
        <f>"000019"</f>
        <v>000019</v>
      </c>
      <c r="M14" s="7">
        <v>43389</v>
      </c>
      <c r="N14" s="8">
        <v>18</v>
      </c>
      <c r="O14" s="8" t="str">
        <f>"001247"</f>
        <v>001247</v>
      </c>
      <c r="P14" s="7">
        <v>43587</v>
      </c>
      <c r="Q14" s="10">
        <v>49.984009999999998</v>
      </c>
      <c r="R14" s="10">
        <v>5.6981799999999998</v>
      </c>
      <c r="S14" s="10">
        <v>44.285829999999997</v>
      </c>
      <c r="T14" s="8">
        <v>39</v>
      </c>
      <c r="U14" s="7">
        <v>43591</v>
      </c>
      <c r="V14" s="8">
        <v>8105878312</v>
      </c>
      <c r="W14" s="9" t="s">
        <v>125</v>
      </c>
      <c r="X14" s="8" t="s">
        <v>55</v>
      </c>
      <c r="Y14" s="9" t="s">
        <v>56</v>
      </c>
      <c r="Z14" s="8" t="s">
        <v>82</v>
      </c>
      <c r="AA14" s="9" t="s">
        <v>83</v>
      </c>
      <c r="AB14" s="10">
        <f t="shared" si="0"/>
        <v>0.49984009999999995</v>
      </c>
    </row>
    <row r="15" spans="1:28" s="4" customFormat="1" ht="13" x14ac:dyDescent="0.3">
      <c r="A15" s="5">
        <v>534</v>
      </c>
      <c r="B15" s="6" t="s">
        <v>38</v>
      </c>
      <c r="C15" s="7">
        <v>43598</v>
      </c>
      <c r="D15" s="8">
        <v>13</v>
      </c>
      <c r="E15" s="9" t="s">
        <v>66</v>
      </c>
      <c r="F15" s="8" t="s">
        <v>126</v>
      </c>
      <c r="G15" s="9" t="s">
        <v>127</v>
      </c>
      <c r="H15" s="8" t="str">
        <f>"000285"</f>
        <v>000285</v>
      </c>
      <c r="I15" s="7">
        <v>43455</v>
      </c>
      <c r="J15" s="8" t="str">
        <f>"000073"</f>
        <v>000073</v>
      </c>
      <c r="K15" s="7">
        <v>43468</v>
      </c>
      <c r="L15" s="8" t="str">
        <f>"000286"</f>
        <v>000286</v>
      </c>
      <c r="M15" s="7">
        <v>43474</v>
      </c>
      <c r="N15" s="8">
        <v>18</v>
      </c>
      <c r="O15" s="8" t="str">
        <f>"001381"</f>
        <v>001381</v>
      </c>
      <c r="P15" s="7">
        <v>43593</v>
      </c>
      <c r="Q15" s="10">
        <v>4.5678999999999998</v>
      </c>
      <c r="R15" s="10">
        <v>0.20161000000000001</v>
      </c>
      <c r="S15" s="10">
        <v>4.3662900000000002</v>
      </c>
      <c r="T15" s="8">
        <v>42</v>
      </c>
      <c r="U15" s="7">
        <v>43598</v>
      </c>
      <c r="V15" s="8">
        <v>9845937211</v>
      </c>
      <c r="W15" s="9" t="s">
        <v>128</v>
      </c>
      <c r="X15" s="8" t="s">
        <v>45</v>
      </c>
      <c r="Y15" s="9" t="s">
        <v>46</v>
      </c>
      <c r="Z15" s="8" t="s">
        <v>62</v>
      </c>
      <c r="AA15" s="9" t="s">
        <v>63</v>
      </c>
      <c r="AB15" s="10">
        <f t="shared" si="0"/>
        <v>4.5678999999999997E-2</v>
      </c>
    </row>
    <row r="16" spans="1:28" s="4" customFormat="1" ht="13" x14ac:dyDescent="0.3">
      <c r="A16" s="5">
        <v>535</v>
      </c>
      <c r="B16" s="6" t="s">
        <v>38</v>
      </c>
      <c r="C16" s="7">
        <v>43603</v>
      </c>
      <c r="D16" s="8">
        <v>13</v>
      </c>
      <c r="E16" s="9" t="s">
        <v>66</v>
      </c>
      <c r="F16" s="8" t="s">
        <v>129</v>
      </c>
      <c r="G16" s="9" t="s">
        <v>130</v>
      </c>
      <c r="H16" s="8" t="str">
        <f>"000143"</f>
        <v>000143</v>
      </c>
      <c r="I16" s="7">
        <v>42818</v>
      </c>
      <c r="J16" s="8" t="str">
        <f>"000007"</f>
        <v>000007</v>
      </c>
      <c r="K16" s="7">
        <v>43006</v>
      </c>
      <c r="L16" s="8" t="str">
        <f>"000039"</f>
        <v>000039</v>
      </c>
      <c r="M16" s="7">
        <v>43034</v>
      </c>
      <c r="N16" s="8">
        <v>17</v>
      </c>
      <c r="O16" s="8" t="str">
        <f>"001744"</f>
        <v>001744</v>
      </c>
      <c r="P16" s="7">
        <v>43602</v>
      </c>
      <c r="Q16" s="10">
        <v>9.6834600000000002</v>
      </c>
      <c r="R16" s="10">
        <v>0.20336000000000001</v>
      </c>
      <c r="S16" s="10">
        <v>9.4801000000000002</v>
      </c>
      <c r="T16" s="8">
        <v>50</v>
      </c>
      <c r="U16" s="7">
        <v>43603</v>
      </c>
      <c r="V16" s="8">
        <v>8105878312</v>
      </c>
      <c r="W16" s="9" t="s">
        <v>131</v>
      </c>
      <c r="X16" s="8" t="s">
        <v>36</v>
      </c>
      <c r="Y16" s="9" t="s">
        <v>37</v>
      </c>
      <c r="Z16" s="8" t="s">
        <v>62</v>
      </c>
      <c r="AA16" s="9" t="s">
        <v>63</v>
      </c>
      <c r="AB16" s="10">
        <f t="shared" si="0"/>
        <v>9.6834600000000007E-2</v>
      </c>
    </row>
    <row r="17" spans="1:28" s="4" customFormat="1" ht="13" x14ac:dyDescent="0.3">
      <c r="A17" s="5">
        <v>536</v>
      </c>
      <c r="B17" s="6" t="s">
        <v>38</v>
      </c>
      <c r="C17" s="7">
        <v>43606</v>
      </c>
      <c r="D17" s="8">
        <v>13</v>
      </c>
      <c r="E17" s="9" t="s">
        <v>66</v>
      </c>
      <c r="F17" s="8" t="s">
        <v>96</v>
      </c>
      <c r="G17" s="9" t="s">
        <v>132</v>
      </c>
      <c r="H17" s="8" t="str">
        <f>"00013A"</f>
        <v>00013A</v>
      </c>
      <c r="I17" s="7">
        <v>42703</v>
      </c>
      <c r="J17" s="8" t="str">
        <f>"000052"</f>
        <v>000052</v>
      </c>
      <c r="K17" s="7">
        <v>42819</v>
      </c>
      <c r="L17" s="8" t="str">
        <f>"000058"</f>
        <v>000058</v>
      </c>
      <c r="M17" s="7">
        <v>42825</v>
      </c>
      <c r="N17" s="8">
        <v>16</v>
      </c>
      <c r="O17" s="8" t="str">
        <f>"006000"</f>
        <v>006000</v>
      </c>
      <c r="P17" s="7">
        <v>42998</v>
      </c>
      <c r="Q17" s="10">
        <v>5.5376700000000003</v>
      </c>
      <c r="R17" s="10">
        <v>0.74172000000000005</v>
      </c>
      <c r="S17" s="10">
        <v>4.7959500000000004</v>
      </c>
      <c r="T17" s="8">
        <v>55</v>
      </c>
      <c r="U17" s="7">
        <v>43606</v>
      </c>
      <c r="V17" s="8">
        <v>9448069096</v>
      </c>
      <c r="W17" s="9" t="s">
        <v>98</v>
      </c>
      <c r="X17" s="8" t="s">
        <v>31</v>
      </c>
      <c r="Y17" s="9" t="s">
        <v>32</v>
      </c>
      <c r="Z17" s="8" t="s">
        <v>64</v>
      </c>
      <c r="AA17" s="9" t="s">
        <v>65</v>
      </c>
      <c r="AB17" s="10">
        <f t="shared" si="0"/>
        <v>5.5376700000000001E-2</v>
      </c>
    </row>
    <row r="18" spans="1:28" s="4" customFormat="1" ht="13" x14ac:dyDescent="0.3">
      <c r="A18" s="5">
        <v>537</v>
      </c>
      <c r="B18" s="6" t="s">
        <v>38</v>
      </c>
      <c r="C18" s="7">
        <v>43615</v>
      </c>
      <c r="D18" s="8">
        <v>13</v>
      </c>
      <c r="E18" s="9" t="s">
        <v>66</v>
      </c>
      <c r="F18" s="8" t="s">
        <v>133</v>
      </c>
      <c r="G18" s="9" t="s">
        <v>134</v>
      </c>
      <c r="H18" s="8" t="str">
        <f>"000101"</f>
        <v>000101</v>
      </c>
      <c r="I18" s="7">
        <v>42899</v>
      </c>
      <c r="J18" s="8" t="str">
        <f>"000014"</f>
        <v>000014</v>
      </c>
      <c r="K18" s="7">
        <v>43038</v>
      </c>
      <c r="L18" s="8" t="str">
        <f>"000050"</f>
        <v>000050</v>
      </c>
      <c r="M18" s="7">
        <v>43041</v>
      </c>
      <c r="N18" s="8">
        <v>17</v>
      </c>
      <c r="O18" s="8" t="str">
        <f>"002139"</f>
        <v>002139</v>
      </c>
      <c r="P18" s="7">
        <v>43613</v>
      </c>
      <c r="Q18" s="10">
        <v>49.775019999999998</v>
      </c>
      <c r="R18" s="10">
        <v>4.5709400000000002</v>
      </c>
      <c r="S18" s="10">
        <v>45.204079999999998</v>
      </c>
      <c r="T18" s="8">
        <v>65</v>
      </c>
      <c r="U18" s="7">
        <v>43615</v>
      </c>
      <c r="V18" s="8">
        <v>9449219009</v>
      </c>
      <c r="W18" s="9" t="s">
        <v>61</v>
      </c>
      <c r="X18" s="8" t="s">
        <v>53</v>
      </c>
      <c r="Y18" s="9" t="s">
        <v>54</v>
      </c>
      <c r="Z18" s="8" t="s">
        <v>62</v>
      </c>
      <c r="AA18" s="9" t="s">
        <v>63</v>
      </c>
      <c r="AB18" s="10">
        <f t="shared" si="0"/>
        <v>0.49775019999999998</v>
      </c>
    </row>
    <row r="19" spans="1:28" s="4" customFormat="1" ht="13" x14ac:dyDescent="0.3">
      <c r="A19" s="5">
        <v>538</v>
      </c>
      <c r="B19" s="6" t="s">
        <v>38</v>
      </c>
      <c r="C19" s="7">
        <v>43615</v>
      </c>
      <c r="D19" s="8">
        <v>13</v>
      </c>
      <c r="E19" s="9" t="s">
        <v>66</v>
      </c>
      <c r="F19" s="8" t="s">
        <v>135</v>
      </c>
      <c r="G19" s="9" t="s">
        <v>136</v>
      </c>
      <c r="H19" s="8" t="str">
        <f>"000102"</f>
        <v>000102</v>
      </c>
      <c r="I19" s="7">
        <v>42899</v>
      </c>
      <c r="J19" s="8" t="str">
        <f>"000022"</f>
        <v>000022</v>
      </c>
      <c r="K19" s="7">
        <v>43056</v>
      </c>
      <c r="L19" s="8" t="str">
        <f>"000057"</f>
        <v>000057</v>
      </c>
      <c r="M19" s="7">
        <v>43064</v>
      </c>
      <c r="N19" s="8">
        <v>17</v>
      </c>
      <c r="O19" s="8" t="str">
        <f>"002211"</f>
        <v>002211</v>
      </c>
      <c r="P19" s="7">
        <v>43613</v>
      </c>
      <c r="Q19" s="10">
        <v>49.999459999999999</v>
      </c>
      <c r="R19" s="10">
        <v>4.66493</v>
      </c>
      <c r="S19" s="10">
        <v>45.334530000000001</v>
      </c>
      <c r="T19" s="8">
        <v>65</v>
      </c>
      <c r="U19" s="7">
        <v>43615</v>
      </c>
      <c r="V19" s="8">
        <v>9449219009</v>
      </c>
      <c r="W19" s="9" t="s">
        <v>61</v>
      </c>
      <c r="X19" s="8" t="s">
        <v>53</v>
      </c>
      <c r="Y19" s="9" t="s">
        <v>54</v>
      </c>
      <c r="Z19" s="8" t="s">
        <v>62</v>
      </c>
      <c r="AA19" s="9" t="s">
        <v>63</v>
      </c>
      <c r="AB19" s="10">
        <f t="shared" si="0"/>
        <v>0.49999460000000001</v>
      </c>
    </row>
    <row r="20" spans="1:28" s="4" customFormat="1" ht="13" x14ac:dyDescent="0.3">
      <c r="A20" s="5">
        <v>539</v>
      </c>
      <c r="B20" s="6" t="s">
        <v>38</v>
      </c>
      <c r="C20" s="7">
        <v>43615</v>
      </c>
      <c r="D20" s="8">
        <v>13</v>
      </c>
      <c r="E20" s="9" t="s">
        <v>66</v>
      </c>
      <c r="F20" s="8" t="s">
        <v>137</v>
      </c>
      <c r="G20" s="9" t="s">
        <v>138</v>
      </c>
      <c r="H20" s="8" t="str">
        <f>"000100"</f>
        <v>000100</v>
      </c>
      <c r="I20" s="7">
        <v>42899</v>
      </c>
      <c r="J20" s="8" t="str">
        <f>"000023"</f>
        <v>000023</v>
      </c>
      <c r="K20" s="7">
        <v>43056</v>
      </c>
      <c r="L20" s="8" t="str">
        <f>"000058"</f>
        <v>000058</v>
      </c>
      <c r="M20" s="7">
        <v>43064</v>
      </c>
      <c r="N20" s="8">
        <v>17</v>
      </c>
      <c r="O20" s="8" t="str">
        <f>"002212"</f>
        <v>002212</v>
      </c>
      <c r="P20" s="7">
        <v>43613</v>
      </c>
      <c r="Q20" s="10">
        <v>49.690539999999999</v>
      </c>
      <c r="R20" s="10">
        <v>4.6240699999999997</v>
      </c>
      <c r="S20" s="10">
        <v>45.066470000000002</v>
      </c>
      <c r="T20" s="8">
        <v>65</v>
      </c>
      <c r="U20" s="7">
        <v>43615</v>
      </c>
      <c r="V20" s="8">
        <v>9449219009</v>
      </c>
      <c r="W20" s="9" t="s">
        <v>61</v>
      </c>
      <c r="X20" s="8" t="s">
        <v>53</v>
      </c>
      <c r="Y20" s="9" t="s">
        <v>54</v>
      </c>
      <c r="Z20" s="8" t="s">
        <v>62</v>
      </c>
      <c r="AA20" s="9" t="s">
        <v>63</v>
      </c>
      <c r="AB20" s="10">
        <f t="shared" si="0"/>
        <v>0.4969054</v>
      </c>
    </row>
    <row r="21" spans="1:28" s="4" customFormat="1" ht="13" x14ac:dyDescent="0.3">
      <c r="A21" s="5">
        <v>540</v>
      </c>
      <c r="B21" s="6" t="s">
        <v>38</v>
      </c>
      <c r="C21" s="7">
        <v>43615</v>
      </c>
      <c r="D21" s="8">
        <v>13</v>
      </c>
      <c r="E21" s="9" t="s">
        <v>66</v>
      </c>
      <c r="F21" s="8" t="s">
        <v>139</v>
      </c>
      <c r="G21" s="9" t="s">
        <v>140</v>
      </c>
      <c r="H21" s="8" t="str">
        <f>"000051"</f>
        <v>000051</v>
      </c>
      <c r="I21" s="7">
        <v>42857</v>
      </c>
      <c r="J21" s="8" t="str">
        <f>"000025"</f>
        <v>000025</v>
      </c>
      <c r="K21" s="7">
        <v>43056</v>
      </c>
      <c r="L21" s="8" t="str">
        <f>"000059"</f>
        <v>000059</v>
      </c>
      <c r="M21" s="7">
        <v>43064</v>
      </c>
      <c r="N21" s="8">
        <v>17</v>
      </c>
      <c r="O21" s="8" t="str">
        <f>"002213"</f>
        <v>002213</v>
      </c>
      <c r="P21" s="7">
        <v>43613</v>
      </c>
      <c r="Q21" s="10">
        <v>24.976900000000001</v>
      </c>
      <c r="R21" s="10">
        <v>2.3122600000000002</v>
      </c>
      <c r="S21" s="10">
        <v>22.664639999999999</v>
      </c>
      <c r="T21" s="8">
        <v>65</v>
      </c>
      <c r="U21" s="7">
        <v>43615</v>
      </c>
      <c r="V21" s="8">
        <v>9449219009</v>
      </c>
      <c r="W21" s="9" t="s">
        <v>61</v>
      </c>
      <c r="X21" s="8" t="s">
        <v>47</v>
      </c>
      <c r="Y21" s="9" t="s">
        <v>48</v>
      </c>
      <c r="Z21" s="8" t="s">
        <v>62</v>
      </c>
      <c r="AA21" s="9" t="s">
        <v>63</v>
      </c>
      <c r="AB21" s="10">
        <f t="shared" si="0"/>
        <v>0.24976900000000002</v>
      </c>
    </row>
    <row r="22" spans="1:28" s="4" customFormat="1" ht="13" x14ac:dyDescent="0.3">
      <c r="A22" s="5">
        <v>541</v>
      </c>
      <c r="B22" s="6" t="s">
        <v>38</v>
      </c>
      <c r="C22" s="7">
        <v>43615</v>
      </c>
      <c r="D22" s="8">
        <v>13</v>
      </c>
      <c r="E22" s="9" t="s">
        <v>66</v>
      </c>
      <c r="F22" s="8" t="s">
        <v>141</v>
      </c>
      <c r="G22" s="9" t="s">
        <v>142</v>
      </c>
      <c r="H22" s="8" t="str">
        <f>"000050"</f>
        <v>000050</v>
      </c>
      <c r="I22" s="7">
        <v>42857</v>
      </c>
      <c r="J22" s="8" t="str">
        <f>"000024"</f>
        <v>000024</v>
      </c>
      <c r="K22" s="7">
        <v>43056</v>
      </c>
      <c r="L22" s="8" t="str">
        <f>"000060"</f>
        <v>000060</v>
      </c>
      <c r="M22" s="7">
        <v>43064</v>
      </c>
      <c r="N22" s="8">
        <v>17</v>
      </c>
      <c r="O22" s="8" t="str">
        <f>"002214"</f>
        <v>002214</v>
      </c>
      <c r="P22" s="7">
        <v>43613</v>
      </c>
      <c r="Q22" s="10">
        <v>24.990279999999998</v>
      </c>
      <c r="R22" s="10">
        <v>2.3365300000000002</v>
      </c>
      <c r="S22" s="10">
        <v>22.653749999999999</v>
      </c>
      <c r="T22" s="8">
        <v>65</v>
      </c>
      <c r="U22" s="7">
        <v>43615</v>
      </c>
      <c r="V22" s="8">
        <v>9449219009</v>
      </c>
      <c r="W22" s="9" t="s">
        <v>61</v>
      </c>
      <c r="X22" s="8" t="s">
        <v>39</v>
      </c>
      <c r="Y22" s="9" t="s">
        <v>40</v>
      </c>
      <c r="Z22" s="8" t="s">
        <v>62</v>
      </c>
      <c r="AA22" s="9" t="s">
        <v>63</v>
      </c>
      <c r="AB22" s="10">
        <f t="shared" si="0"/>
        <v>0.24990279999999998</v>
      </c>
    </row>
    <row r="23" spans="1:28" s="4" customFormat="1" ht="13" x14ac:dyDescent="0.3">
      <c r="A23" s="5">
        <v>542</v>
      </c>
      <c r="B23" s="6" t="s">
        <v>35</v>
      </c>
      <c r="C23" s="7">
        <v>43622</v>
      </c>
      <c r="D23" s="8">
        <v>13</v>
      </c>
      <c r="E23" s="9" t="s">
        <v>66</v>
      </c>
      <c r="F23" s="8" t="s">
        <v>90</v>
      </c>
      <c r="G23" s="9" t="s">
        <v>91</v>
      </c>
      <c r="H23" s="8" t="str">
        <f>"000015"</f>
        <v>000015</v>
      </c>
      <c r="I23" s="7">
        <v>43101</v>
      </c>
      <c r="J23" s="8" t="str">
        <f>"000028"</f>
        <v>000028</v>
      </c>
      <c r="K23" s="7">
        <v>43461</v>
      </c>
      <c r="L23" s="8" t="str">
        <f>"000029"</f>
        <v>000029</v>
      </c>
      <c r="M23" s="7">
        <v>43465</v>
      </c>
      <c r="N23" s="8">
        <v>18</v>
      </c>
      <c r="O23" s="8" t="str">
        <f>"002297"</f>
        <v>002297</v>
      </c>
      <c r="P23" s="7">
        <v>43615</v>
      </c>
      <c r="Q23" s="10">
        <v>19.982530000000001</v>
      </c>
      <c r="R23" s="10">
        <v>2.36998</v>
      </c>
      <c r="S23" s="10">
        <v>17.612549999999999</v>
      </c>
      <c r="T23" s="8">
        <v>70</v>
      </c>
      <c r="U23" s="7">
        <v>43622</v>
      </c>
      <c r="V23" s="8">
        <v>9481614888</v>
      </c>
      <c r="W23" s="9" t="s">
        <v>92</v>
      </c>
      <c r="X23" s="8" t="s">
        <v>44</v>
      </c>
      <c r="Y23" s="9" t="s">
        <v>43</v>
      </c>
      <c r="Z23" s="8" t="s">
        <v>82</v>
      </c>
      <c r="AA23" s="9" t="s">
        <v>83</v>
      </c>
      <c r="AB23" s="10">
        <v>0.19982530000000001</v>
      </c>
    </row>
    <row r="24" spans="1:28" s="4" customFormat="1" ht="13" x14ac:dyDescent="0.3">
      <c r="A24" s="5">
        <v>543</v>
      </c>
      <c r="B24" s="6" t="s">
        <v>35</v>
      </c>
      <c r="C24" s="7">
        <v>43622</v>
      </c>
      <c r="D24" s="8">
        <v>13</v>
      </c>
      <c r="E24" s="9" t="s">
        <v>66</v>
      </c>
      <c r="F24" s="8" t="s">
        <v>93</v>
      </c>
      <c r="G24" s="9" t="s">
        <v>94</v>
      </c>
      <c r="H24" s="8" t="str">
        <f>"000056"</f>
        <v>000056</v>
      </c>
      <c r="I24" s="7">
        <v>43186</v>
      </c>
      <c r="J24" s="8" t="str">
        <f>"000026"</f>
        <v>000026</v>
      </c>
      <c r="K24" s="7">
        <v>43444</v>
      </c>
      <c r="L24" s="8" t="str">
        <f>"000027"</f>
        <v>000027</v>
      </c>
      <c r="M24" s="7">
        <v>43460</v>
      </c>
      <c r="N24" s="8">
        <v>18</v>
      </c>
      <c r="O24" s="8" t="str">
        <f>"002298"</f>
        <v>002298</v>
      </c>
      <c r="P24" s="7">
        <v>43615</v>
      </c>
      <c r="Q24" s="10">
        <v>49.318449999999999</v>
      </c>
      <c r="R24" s="10">
        <v>5.8987100000000003</v>
      </c>
      <c r="S24" s="10">
        <v>43.419739999999997</v>
      </c>
      <c r="T24" s="8">
        <v>70</v>
      </c>
      <c r="U24" s="7">
        <v>43622</v>
      </c>
      <c r="V24" s="8">
        <v>8105878312</v>
      </c>
      <c r="W24" s="9" t="s">
        <v>95</v>
      </c>
      <c r="X24" s="8" t="s">
        <v>44</v>
      </c>
      <c r="Y24" s="9" t="s">
        <v>43</v>
      </c>
      <c r="Z24" s="8" t="s">
        <v>82</v>
      </c>
      <c r="AA24" s="9" t="s">
        <v>83</v>
      </c>
      <c r="AB24" s="10">
        <v>0.49318449999999997</v>
      </c>
    </row>
    <row r="25" spans="1:28" s="4" customFormat="1" ht="13" x14ac:dyDescent="0.3">
      <c r="A25" s="5">
        <v>544</v>
      </c>
      <c r="B25" s="6" t="s">
        <v>35</v>
      </c>
      <c r="C25" s="7">
        <v>43623</v>
      </c>
      <c r="D25" s="8">
        <v>13</v>
      </c>
      <c r="E25" s="9" t="s">
        <v>66</v>
      </c>
      <c r="F25" s="8" t="s">
        <v>96</v>
      </c>
      <c r="G25" s="9" t="s">
        <v>97</v>
      </c>
      <c r="H25" s="8" t="str">
        <f>"00013A"</f>
        <v>00013A</v>
      </c>
      <c r="I25" s="7">
        <v>42703</v>
      </c>
      <c r="J25" s="8" t="str">
        <f>"000052"</f>
        <v>000052</v>
      </c>
      <c r="K25" s="7">
        <v>42819</v>
      </c>
      <c r="L25" s="8" t="str">
        <f>"000058"</f>
        <v>000058</v>
      </c>
      <c r="M25" s="7">
        <v>42825</v>
      </c>
      <c r="N25" s="8">
        <v>16</v>
      </c>
      <c r="O25" s="8" t="str">
        <f>"006000"</f>
        <v>006000</v>
      </c>
      <c r="P25" s="7">
        <v>42998</v>
      </c>
      <c r="Q25" s="10">
        <v>7.7527499999999998</v>
      </c>
      <c r="R25" s="10">
        <v>0.86660000000000004</v>
      </c>
      <c r="S25" s="10">
        <v>6.8861499999999998</v>
      </c>
      <c r="T25" s="8">
        <v>73</v>
      </c>
      <c r="U25" s="7">
        <v>43623</v>
      </c>
      <c r="V25" s="8">
        <v>9448069096</v>
      </c>
      <c r="W25" s="9" t="s">
        <v>98</v>
      </c>
      <c r="X25" s="8" t="s">
        <v>31</v>
      </c>
      <c r="Y25" s="9" t="s">
        <v>32</v>
      </c>
      <c r="Z25" s="8" t="s">
        <v>64</v>
      </c>
      <c r="AA25" s="9" t="s">
        <v>65</v>
      </c>
      <c r="AB25" s="10">
        <v>7.7527499999999999E-2</v>
      </c>
    </row>
    <row r="26" spans="1:28" s="4" customFormat="1" ht="13" x14ac:dyDescent="0.3">
      <c r="A26" s="5">
        <v>545</v>
      </c>
      <c r="B26" s="6" t="s">
        <v>35</v>
      </c>
      <c r="C26" s="7">
        <v>43623</v>
      </c>
      <c r="D26" s="8">
        <v>13</v>
      </c>
      <c r="E26" s="9" t="s">
        <v>66</v>
      </c>
      <c r="F26" s="8" t="s">
        <v>96</v>
      </c>
      <c r="G26" s="9" t="s">
        <v>97</v>
      </c>
      <c r="H26" s="8" t="str">
        <f>"00013A"</f>
        <v>00013A</v>
      </c>
      <c r="I26" s="7">
        <v>42703</v>
      </c>
      <c r="J26" s="8" t="str">
        <f>"000052"</f>
        <v>000052</v>
      </c>
      <c r="K26" s="7">
        <v>42819</v>
      </c>
      <c r="L26" s="8" t="str">
        <f>"000058"</f>
        <v>000058</v>
      </c>
      <c r="M26" s="7">
        <v>42825</v>
      </c>
      <c r="N26" s="8">
        <v>16</v>
      </c>
      <c r="O26" s="8" t="str">
        <f>"006000"</f>
        <v>006000</v>
      </c>
      <c r="P26" s="7">
        <v>42998</v>
      </c>
      <c r="Q26" s="10">
        <v>2.2150699999999999</v>
      </c>
      <c r="R26" s="10">
        <v>0.46727000000000002</v>
      </c>
      <c r="S26" s="10">
        <v>1.7478</v>
      </c>
      <c r="T26" s="8">
        <v>73</v>
      </c>
      <c r="U26" s="7">
        <v>43623</v>
      </c>
      <c r="V26" s="8">
        <v>9448069096</v>
      </c>
      <c r="W26" s="9" t="s">
        <v>98</v>
      </c>
      <c r="X26" s="8" t="s">
        <v>31</v>
      </c>
      <c r="Y26" s="9" t="s">
        <v>32</v>
      </c>
      <c r="Z26" s="8" t="s">
        <v>64</v>
      </c>
      <c r="AA26" s="9" t="s">
        <v>65</v>
      </c>
      <c r="AB26" s="10">
        <v>2.2150699999999999E-2</v>
      </c>
    </row>
    <row r="27" spans="1:28" s="4" customFormat="1" ht="13" x14ac:dyDescent="0.3">
      <c r="A27" s="5">
        <v>546</v>
      </c>
      <c r="B27" s="6" t="s">
        <v>35</v>
      </c>
      <c r="C27" s="7">
        <v>43636</v>
      </c>
      <c r="D27" s="8">
        <v>13</v>
      </c>
      <c r="E27" s="9" t="s">
        <v>66</v>
      </c>
      <c r="F27" s="8" t="s">
        <v>99</v>
      </c>
      <c r="G27" s="9" t="s">
        <v>100</v>
      </c>
      <c r="H27" s="8" t="str">
        <f>"000126"</f>
        <v>000126</v>
      </c>
      <c r="I27" s="7">
        <v>42787</v>
      </c>
      <c r="J27" s="8" t="str">
        <f>"000020"</f>
        <v>000020</v>
      </c>
      <c r="K27" s="7">
        <v>43055</v>
      </c>
      <c r="L27" s="8" t="str">
        <f>"000064"</f>
        <v>000064</v>
      </c>
      <c r="M27" s="7">
        <v>43089</v>
      </c>
      <c r="N27" s="8">
        <v>16</v>
      </c>
      <c r="O27" s="8" t="str">
        <f>"002768"</f>
        <v>002768</v>
      </c>
      <c r="P27" s="7">
        <v>43631</v>
      </c>
      <c r="Q27" s="10">
        <v>41.540199999999999</v>
      </c>
      <c r="R27" s="10">
        <v>1.3915900000000001</v>
      </c>
      <c r="S27" s="10">
        <v>40.148609999999998</v>
      </c>
      <c r="T27" s="8">
        <v>89</v>
      </c>
      <c r="U27" s="7">
        <v>43636</v>
      </c>
      <c r="V27" s="8">
        <v>7353903103</v>
      </c>
      <c r="W27" s="9" t="s">
        <v>101</v>
      </c>
      <c r="X27" s="8" t="s">
        <v>41</v>
      </c>
      <c r="Y27" s="9" t="s">
        <v>42</v>
      </c>
      <c r="Z27" s="8" t="s">
        <v>62</v>
      </c>
      <c r="AA27" s="9" t="s">
        <v>63</v>
      </c>
      <c r="AB27" s="10">
        <v>0.41540199999999999</v>
      </c>
    </row>
    <row r="28" spans="1:28" s="4" customFormat="1" ht="13" x14ac:dyDescent="0.3">
      <c r="A28" s="5">
        <v>547</v>
      </c>
      <c r="B28" s="6" t="s">
        <v>35</v>
      </c>
      <c r="C28" s="7">
        <v>43636</v>
      </c>
      <c r="D28" s="8">
        <v>13</v>
      </c>
      <c r="E28" s="9" t="s">
        <v>66</v>
      </c>
      <c r="F28" s="8" t="s">
        <v>102</v>
      </c>
      <c r="G28" s="9" t="s">
        <v>103</v>
      </c>
      <c r="H28" s="8" t="str">
        <f>"000125"</f>
        <v>000125</v>
      </c>
      <c r="I28" s="7">
        <v>42787</v>
      </c>
      <c r="J28" s="8" t="str">
        <f>"000021"</f>
        <v>000021</v>
      </c>
      <c r="K28" s="7">
        <v>43055</v>
      </c>
      <c r="L28" s="8" t="str">
        <f>"000065"</f>
        <v>000065</v>
      </c>
      <c r="M28" s="7">
        <v>43089</v>
      </c>
      <c r="N28" s="8">
        <v>16</v>
      </c>
      <c r="O28" s="8" t="str">
        <f>"002769"</f>
        <v>002769</v>
      </c>
      <c r="P28" s="7">
        <v>43631</v>
      </c>
      <c r="Q28" s="10">
        <v>41.517069999999997</v>
      </c>
      <c r="R28" s="10">
        <v>1.3908199999999999</v>
      </c>
      <c r="S28" s="10">
        <v>40.126249999999999</v>
      </c>
      <c r="T28" s="8">
        <v>89</v>
      </c>
      <c r="U28" s="7">
        <v>43636</v>
      </c>
      <c r="V28" s="8">
        <v>7353903103</v>
      </c>
      <c r="W28" s="9" t="s">
        <v>101</v>
      </c>
      <c r="X28" s="8" t="s">
        <v>41</v>
      </c>
      <c r="Y28" s="9" t="s">
        <v>42</v>
      </c>
      <c r="Z28" s="8" t="s">
        <v>62</v>
      </c>
      <c r="AA28" s="9" t="s">
        <v>63</v>
      </c>
      <c r="AB28" s="10">
        <v>0.41517069999999995</v>
      </c>
    </row>
    <row r="29" spans="1:28" s="4" customFormat="1" ht="13" x14ac:dyDescent="0.3">
      <c r="A29" s="5">
        <v>548</v>
      </c>
      <c r="B29" s="6" t="s">
        <v>35</v>
      </c>
      <c r="C29" s="7">
        <v>43636</v>
      </c>
      <c r="D29" s="8">
        <v>13</v>
      </c>
      <c r="E29" s="9" t="s">
        <v>66</v>
      </c>
      <c r="F29" s="8" t="s">
        <v>104</v>
      </c>
      <c r="G29" s="9" t="s">
        <v>105</v>
      </c>
      <c r="H29" s="8" t="str">
        <f>"0O0127"</f>
        <v>0O0127</v>
      </c>
      <c r="I29" s="7">
        <v>42787</v>
      </c>
      <c r="J29" s="8" t="str">
        <f>"000019"</f>
        <v>000019</v>
      </c>
      <c r="K29" s="7">
        <v>43054</v>
      </c>
      <c r="L29" s="8" t="str">
        <f>"000066"</f>
        <v>000066</v>
      </c>
      <c r="M29" s="7">
        <v>43089</v>
      </c>
      <c r="N29" s="8">
        <v>16</v>
      </c>
      <c r="O29" s="8" t="str">
        <f>"002770"</f>
        <v>002770</v>
      </c>
      <c r="P29" s="7">
        <v>43631</v>
      </c>
      <c r="Q29" s="10">
        <v>41.555219999999998</v>
      </c>
      <c r="R29" s="10">
        <v>1.3920999999999999</v>
      </c>
      <c r="S29" s="10">
        <v>40.163119999999999</v>
      </c>
      <c r="T29" s="8">
        <v>89</v>
      </c>
      <c r="U29" s="7">
        <v>43636</v>
      </c>
      <c r="V29" s="8">
        <v>7353903103</v>
      </c>
      <c r="W29" s="9" t="s">
        <v>101</v>
      </c>
      <c r="X29" s="8" t="s">
        <v>41</v>
      </c>
      <c r="Y29" s="9" t="s">
        <v>42</v>
      </c>
      <c r="Z29" s="8" t="s">
        <v>62</v>
      </c>
      <c r="AA29" s="9" t="s">
        <v>63</v>
      </c>
      <c r="AB29" s="10">
        <v>0.41555219999999998</v>
      </c>
    </row>
    <row r="30" spans="1:28" s="4" customFormat="1" ht="13" x14ac:dyDescent="0.3">
      <c r="A30" s="5">
        <v>549</v>
      </c>
      <c r="B30" s="6" t="s">
        <v>35</v>
      </c>
      <c r="C30" s="7">
        <v>43641</v>
      </c>
      <c r="D30" s="8">
        <v>13</v>
      </c>
      <c r="E30" s="9" t="s">
        <v>66</v>
      </c>
      <c r="F30" s="8" t="s">
        <v>106</v>
      </c>
      <c r="G30" s="9" t="s">
        <v>107</v>
      </c>
      <c r="H30" s="8" t="str">
        <f>"000350"</f>
        <v>000350</v>
      </c>
      <c r="I30" s="7">
        <v>43519</v>
      </c>
      <c r="J30" s="8" t="str">
        <f>"000005"</f>
        <v>000005</v>
      </c>
      <c r="K30" s="7">
        <v>43578</v>
      </c>
      <c r="L30" s="8" t="str">
        <f>"000028"</f>
        <v>000028</v>
      </c>
      <c r="M30" s="7">
        <v>43585</v>
      </c>
      <c r="N30" s="8">
        <v>18</v>
      </c>
      <c r="O30" s="8" t="str">
        <f>"002826"</f>
        <v>002826</v>
      </c>
      <c r="P30" s="7">
        <v>43635</v>
      </c>
      <c r="Q30" s="10">
        <v>29.82658</v>
      </c>
      <c r="R30" s="10">
        <v>3.2390300000000001</v>
      </c>
      <c r="S30" s="10">
        <v>26.58755</v>
      </c>
      <c r="T30" s="8">
        <v>93</v>
      </c>
      <c r="U30" s="7">
        <v>43641</v>
      </c>
      <c r="V30" s="8">
        <v>9036184395</v>
      </c>
      <c r="W30" s="9" t="s">
        <v>61</v>
      </c>
      <c r="X30" s="8" t="s">
        <v>59</v>
      </c>
      <c r="Y30" s="9" t="s">
        <v>60</v>
      </c>
      <c r="Z30" s="8" t="s">
        <v>62</v>
      </c>
      <c r="AA30" s="9" t="s">
        <v>63</v>
      </c>
      <c r="AB30" s="10">
        <v>0.29826580000000003</v>
      </c>
    </row>
    <row r="31" spans="1:28" s="4" customFormat="1" ht="13" x14ac:dyDescent="0.3">
      <c r="A31" s="5">
        <v>550</v>
      </c>
      <c r="B31" s="6" t="s">
        <v>35</v>
      </c>
      <c r="C31" s="7">
        <v>43641</v>
      </c>
      <c r="D31" s="8">
        <v>13</v>
      </c>
      <c r="E31" s="9" t="s">
        <v>66</v>
      </c>
      <c r="F31" s="8" t="s">
        <v>108</v>
      </c>
      <c r="G31" s="9" t="s">
        <v>109</v>
      </c>
      <c r="H31" s="8" t="str">
        <f>"000032"</f>
        <v>000032</v>
      </c>
      <c r="I31" s="7">
        <v>43458</v>
      </c>
      <c r="J31" s="8" t="str">
        <f>"000006"</f>
        <v>000006</v>
      </c>
      <c r="K31" s="7">
        <v>43605</v>
      </c>
      <c r="L31" s="8" t="str">
        <f>"000006"</f>
        <v>000006</v>
      </c>
      <c r="M31" s="7">
        <v>43605</v>
      </c>
      <c r="N31" s="8">
        <v>18</v>
      </c>
      <c r="O31" s="8" t="str">
        <f>"002827"</f>
        <v>002827</v>
      </c>
      <c r="P31" s="7">
        <v>43635</v>
      </c>
      <c r="Q31" s="10">
        <v>9.9840300000000006</v>
      </c>
      <c r="R31" s="10">
        <v>0.97702999999999995</v>
      </c>
      <c r="S31" s="10">
        <v>9.0069999999999997</v>
      </c>
      <c r="T31" s="8">
        <v>93</v>
      </c>
      <c r="U31" s="7">
        <v>43641</v>
      </c>
      <c r="V31" s="8">
        <v>9986313631</v>
      </c>
      <c r="W31" s="9" t="s">
        <v>110</v>
      </c>
      <c r="X31" s="8" t="s">
        <v>49</v>
      </c>
      <c r="Y31" s="9" t="s">
        <v>50</v>
      </c>
      <c r="Z31" s="8" t="s">
        <v>64</v>
      </c>
      <c r="AA31" s="9" t="s">
        <v>65</v>
      </c>
      <c r="AB31" s="10">
        <v>9.9840300000000007E-2</v>
      </c>
    </row>
    <row r="32" spans="1:28" s="4" customFormat="1" ht="13" x14ac:dyDescent="0.3">
      <c r="A32" s="5">
        <v>551</v>
      </c>
      <c r="B32" s="6" t="s">
        <v>35</v>
      </c>
      <c r="C32" s="7">
        <v>43644</v>
      </c>
      <c r="D32" s="8">
        <v>13</v>
      </c>
      <c r="E32" s="9" t="s">
        <v>66</v>
      </c>
      <c r="F32" s="8" t="s">
        <v>111</v>
      </c>
      <c r="G32" s="9" t="s">
        <v>112</v>
      </c>
      <c r="H32" s="8" t="str">
        <f>"000382"</f>
        <v>000382</v>
      </c>
      <c r="I32" s="7">
        <v>43531</v>
      </c>
      <c r="J32" s="8" t="str">
        <f>"000037"</f>
        <v>000037</v>
      </c>
      <c r="K32" s="7">
        <v>43629</v>
      </c>
      <c r="L32" s="8" t="str">
        <f>"000064"</f>
        <v>000064</v>
      </c>
      <c r="M32" s="7">
        <v>43629</v>
      </c>
      <c r="N32" s="8">
        <v>19</v>
      </c>
      <c r="O32" s="8" t="str">
        <f>"002956"</f>
        <v>002956</v>
      </c>
      <c r="P32" s="7">
        <v>43637</v>
      </c>
      <c r="Q32" s="10">
        <v>86.093010000000007</v>
      </c>
      <c r="R32" s="10">
        <v>9.0390800000000002</v>
      </c>
      <c r="S32" s="10">
        <v>77.053929999999994</v>
      </c>
      <c r="T32" s="8">
        <v>95</v>
      </c>
      <c r="U32" s="7">
        <v>43644</v>
      </c>
      <c r="V32" s="8">
        <v>8792620231</v>
      </c>
      <c r="W32" s="9" t="s">
        <v>61</v>
      </c>
      <c r="X32" s="8" t="s">
        <v>51</v>
      </c>
      <c r="Y32" s="9" t="s">
        <v>52</v>
      </c>
      <c r="Z32" s="8" t="s">
        <v>62</v>
      </c>
      <c r="AA32" s="9" t="s">
        <v>63</v>
      </c>
      <c r="AB32" s="10">
        <v>0.86093010000000003</v>
      </c>
    </row>
    <row r="33" spans="1:28" s="4" customFormat="1" ht="13" x14ac:dyDescent="0.3">
      <c r="A33" s="5">
        <v>552</v>
      </c>
      <c r="B33" s="6" t="s">
        <v>143</v>
      </c>
      <c r="C33" s="7">
        <v>43647</v>
      </c>
      <c r="D33" s="8">
        <v>13</v>
      </c>
      <c r="E33" s="9" t="s">
        <v>66</v>
      </c>
      <c r="F33" s="8" t="s">
        <v>144</v>
      </c>
      <c r="G33" s="11" t="s">
        <v>145</v>
      </c>
      <c r="H33" s="8" t="str">
        <f>"000092"</f>
        <v>000092</v>
      </c>
      <c r="I33" s="7">
        <v>42891</v>
      </c>
      <c r="J33" s="8" t="str">
        <f>"000029"</f>
        <v>000029</v>
      </c>
      <c r="K33" s="7">
        <v>43092</v>
      </c>
      <c r="L33" s="8" t="str">
        <f>"000073"</f>
        <v>000073</v>
      </c>
      <c r="M33" s="7">
        <v>43104</v>
      </c>
      <c r="N33" s="8">
        <v>17</v>
      </c>
      <c r="O33" s="8" t="str">
        <f>"003066"</f>
        <v>003066</v>
      </c>
      <c r="P33" s="7">
        <v>43640</v>
      </c>
      <c r="Q33" s="12">
        <v>74.339230000000001</v>
      </c>
      <c r="R33" s="12">
        <v>7.16066</v>
      </c>
      <c r="S33" s="12">
        <v>67.178569999999993</v>
      </c>
      <c r="T33" s="8">
        <v>96</v>
      </c>
      <c r="U33" s="7">
        <v>43647</v>
      </c>
      <c r="V33" s="8">
        <v>9449219004</v>
      </c>
      <c r="W33" s="11" t="s">
        <v>61</v>
      </c>
      <c r="X33" s="8" t="s">
        <v>146</v>
      </c>
      <c r="Y33" s="11" t="s">
        <v>147</v>
      </c>
      <c r="Z33" s="8" t="s">
        <v>62</v>
      </c>
      <c r="AA33" s="11" t="s">
        <v>63</v>
      </c>
      <c r="AB33" s="12">
        <f t="shared" ref="AB33:AB55" si="1">Q33/100</f>
        <v>0.74339230000000001</v>
      </c>
    </row>
    <row r="34" spans="1:28" s="4" customFormat="1" ht="13" x14ac:dyDescent="0.3">
      <c r="A34" s="5">
        <v>553</v>
      </c>
      <c r="B34" s="6" t="s">
        <v>143</v>
      </c>
      <c r="C34" s="7">
        <v>43647</v>
      </c>
      <c r="D34" s="8">
        <v>13</v>
      </c>
      <c r="E34" s="9" t="s">
        <v>66</v>
      </c>
      <c r="F34" s="8" t="s">
        <v>148</v>
      </c>
      <c r="G34" s="11" t="s">
        <v>149</v>
      </c>
      <c r="H34" s="8" t="str">
        <f>"000113"</f>
        <v>000113</v>
      </c>
      <c r="I34" s="7">
        <v>42907</v>
      </c>
      <c r="J34" s="8" t="str">
        <f>"000030"</f>
        <v>000030</v>
      </c>
      <c r="K34" s="7">
        <v>43092</v>
      </c>
      <c r="L34" s="8" t="str">
        <f>"000074"</f>
        <v>000074</v>
      </c>
      <c r="M34" s="7">
        <v>43104</v>
      </c>
      <c r="N34" s="8">
        <v>17</v>
      </c>
      <c r="O34" s="8" t="str">
        <f>"003070"</f>
        <v>003070</v>
      </c>
      <c r="P34" s="7">
        <v>43640</v>
      </c>
      <c r="Q34" s="12">
        <v>49.883400000000002</v>
      </c>
      <c r="R34" s="12">
        <v>4.7898199999999997</v>
      </c>
      <c r="S34" s="12">
        <v>45.093580000000003</v>
      </c>
      <c r="T34" s="8">
        <v>96</v>
      </c>
      <c r="U34" s="7">
        <v>43647</v>
      </c>
      <c r="V34" s="8">
        <v>9449219009</v>
      </c>
      <c r="W34" s="11" t="s">
        <v>61</v>
      </c>
      <c r="X34" s="8" t="s">
        <v>39</v>
      </c>
      <c r="Y34" s="11" t="s">
        <v>40</v>
      </c>
      <c r="Z34" s="8" t="s">
        <v>62</v>
      </c>
      <c r="AA34" s="11" t="s">
        <v>63</v>
      </c>
      <c r="AB34" s="12">
        <f t="shared" si="1"/>
        <v>0.498834</v>
      </c>
    </row>
    <row r="35" spans="1:28" s="4" customFormat="1" ht="13" x14ac:dyDescent="0.3">
      <c r="A35" s="5">
        <v>554</v>
      </c>
      <c r="B35" s="6" t="s">
        <v>143</v>
      </c>
      <c r="C35" s="7">
        <v>43647</v>
      </c>
      <c r="D35" s="8">
        <v>13</v>
      </c>
      <c r="E35" s="9" t="s">
        <v>66</v>
      </c>
      <c r="F35" s="8" t="s">
        <v>150</v>
      </c>
      <c r="G35" s="11" t="s">
        <v>151</v>
      </c>
      <c r="H35" s="8" t="str">
        <f>"000006"</f>
        <v>000006</v>
      </c>
      <c r="I35" s="7">
        <v>43053</v>
      </c>
      <c r="J35" s="8" t="str">
        <f>"000044"</f>
        <v>000044</v>
      </c>
      <c r="K35" s="7">
        <v>43547</v>
      </c>
      <c r="L35" s="8" t="str">
        <f>"000044"</f>
        <v>000044</v>
      </c>
      <c r="M35" s="7">
        <v>43549</v>
      </c>
      <c r="N35" s="8">
        <v>18</v>
      </c>
      <c r="O35" s="8" t="str">
        <f>"002961"</f>
        <v>002961</v>
      </c>
      <c r="P35" s="7">
        <v>43640</v>
      </c>
      <c r="Q35" s="12">
        <v>6.1483299999999996</v>
      </c>
      <c r="R35" s="12">
        <v>0.5595</v>
      </c>
      <c r="S35" s="12">
        <v>5.5888299999999997</v>
      </c>
      <c r="T35" s="8">
        <v>97</v>
      </c>
      <c r="U35" s="7">
        <v>43647</v>
      </c>
      <c r="V35" s="8">
        <v>8105878312</v>
      </c>
      <c r="W35" s="11" t="s">
        <v>61</v>
      </c>
      <c r="X35" s="8" t="s">
        <v>55</v>
      </c>
      <c r="Y35" s="11" t="s">
        <v>56</v>
      </c>
      <c r="Z35" s="8" t="s">
        <v>82</v>
      </c>
      <c r="AA35" s="11" t="s">
        <v>83</v>
      </c>
      <c r="AB35" s="12">
        <f t="shared" si="1"/>
        <v>6.1483299999999998E-2</v>
      </c>
    </row>
    <row r="36" spans="1:28" s="4" customFormat="1" ht="13" x14ac:dyDescent="0.3">
      <c r="A36" s="5">
        <v>555</v>
      </c>
      <c r="B36" s="6" t="s">
        <v>143</v>
      </c>
      <c r="C36" s="7">
        <v>43663</v>
      </c>
      <c r="D36" s="8">
        <v>13</v>
      </c>
      <c r="E36" s="9" t="s">
        <v>66</v>
      </c>
      <c r="F36" s="8" t="s">
        <v>152</v>
      </c>
      <c r="G36" s="11" t="s">
        <v>153</v>
      </c>
      <c r="H36" s="8" t="str">
        <f>"000024"</f>
        <v>000024</v>
      </c>
      <c r="I36" s="7">
        <v>43158</v>
      </c>
      <c r="J36" s="8" t="str">
        <f>"000024"</f>
        <v>000024</v>
      </c>
      <c r="K36" s="7">
        <v>43186</v>
      </c>
      <c r="L36" s="8" t="str">
        <f>"000024"</f>
        <v>000024</v>
      </c>
      <c r="M36" s="7">
        <v>43186</v>
      </c>
      <c r="N36" s="8">
        <v>18</v>
      </c>
      <c r="O36" s="8" t="str">
        <f>"003416"</f>
        <v>003416</v>
      </c>
      <c r="P36" s="7">
        <v>43662</v>
      </c>
      <c r="Q36" s="12">
        <v>7.6232499999999996</v>
      </c>
      <c r="R36" s="12">
        <v>0.16014999999999999</v>
      </c>
      <c r="S36" s="12">
        <v>7.4630999999999998</v>
      </c>
      <c r="T36" s="8">
        <v>113</v>
      </c>
      <c r="U36" s="7">
        <v>43663</v>
      </c>
      <c r="V36" s="8">
        <v>9964168613</v>
      </c>
      <c r="W36" s="11" t="s">
        <v>154</v>
      </c>
      <c r="X36" s="8" t="s">
        <v>36</v>
      </c>
      <c r="Y36" s="11" t="s">
        <v>37</v>
      </c>
      <c r="Z36" s="8" t="s">
        <v>64</v>
      </c>
      <c r="AA36" s="11" t="s">
        <v>65</v>
      </c>
      <c r="AB36" s="12">
        <f t="shared" si="1"/>
        <v>7.6232499999999995E-2</v>
      </c>
    </row>
    <row r="37" spans="1:28" s="4" customFormat="1" ht="13" x14ac:dyDescent="0.3">
      <c r="A37" s="5">
        <v>556</v>
      </c>
      <c r="B37" s="6" t="s">
        <v>143</v>
      </c>
      <c r="C37" s="7">
        <v>43668</v>
      </c>
      <c r="D37" s="8">
        <v>13</v>
      </c>
      <c r="E37" s="9" t="s">
        <v>66</v>
      </c>
      <c r="F37" s="8" t="s">
        <v>155</v>
      </c>
      <c r="G37" s="11" t="s">
        <v>156</v>
      </c>
      <c r="H37" s="8" t="str">
        <f>"000340"</f>
        <v>000340</v>
      </c>
      <c r="I37" s="7">
        <v>43517</v>
      </c>
      <c r="J37" s="8" t="str">
        <f>"000071"</f>
        <v>000071</v>
      </c>
      <c r="K37" s="7">
        <v>43752</v>
      </c>
      <c r="L37" s="8" t="str">
        <f>"000168"</f>
        <v>000168</v>
      </c>
      <c r="M37" s="7">
        <v>43757</v>
      </c>
      <c r="N37" s="8">
        <v>19</v>
      </c>
      <c r="O37" s="8" t="str">
        <f>"006199"</f>
        <v>006199</v>
      </c>
      <c r="P37" s="7">
        <v>43781</v>
      </c>
      <c r="Q37" s="12">
        <v>20.65484</v>
      </c>
      <c r="R37" s="12">
        <v>1.9518500000000001</v>
      </c>
      <c r="S37" s="12">
        <v>18.70299</v>
      </c>
      <c r="T37" s="8">
        <v>119</v>
      </c>
      <c r="U37" s="7">
        <v>43668</v>
      </c>
      <c r="V37" s="8">
        <v>9448259024</v>
      </c>
      <c r="W37" s="11" t="s">
        <v>157</v>
      </c>
      <c r="X37" s="8" t="s">
        <v>158</v>
      </c>
      <c r="Y37" s="11" t="s">
        <v>159</v>
      </c>
      <c r="Z37" s="8" t="s">
        <v>62</v>
      </c>
      <c r="AA37" s="11" t="s">
        <v>63</v>
      </c>
      <c r="AB37" s="12">
        <f t="shared" si="1"/>
        <v>0.20654839999999999</v>
      </c>
    </row>
    <row r="38" spans="1:28" s="4" customFormat="1" ht="13" x14ac:dyDescent="0.3">
      <c r="A38" s="5">
        <v>557</v>
      </c>
      <c r="B38" s="6" t="s">
        <v>143</v>
      </c>
      <c r="C38" s="7">
        <v>43669</v>
      </c>
      <c r="D38" s="8">
        <v>13</v>
      </c>
      <c r="E38" s="9" t="s">
        <v>66</v>
      </c>
      <c r="F38" s="8" t="s">
        <v>160</v>
      </c>
      <c r="G38" s="11" t="s">
        <v>161</v>
      </c>
      <c r="H38" s="8" t="str">
        <f>"000070"</f>
        <v>000070</v>
      </c>
      <c r="I38" s="7">
        <v>43032</v>
      </c>
      <c r="J38" s="8" t="str">
        <f>"000034"</f>
        <v>000034</v>
      </c>
      <c r="K38" s="7">
        <v>43116</v>
      </c>
      <c r="L38" s="8" t="str">
        <f>"000083"</f>
        <v>000083</v>
      </c>
      <c r="M38" s="7">
        <v>43134</v>
      </c>
      <c r="N38" s="8">
        <v>18</v>
      </c>
      <c r="O38" s="8" t="str">
        <f>"003499"</f>
        <v>003499</v>
      </c>
      <c r="P38" s="7">
        <v>43663</v>
      </c>
      <c r="Q38" s="12">
        <v>199.84403</v>
      </c>
      <c r="R38" s="12">
        <v>18.306920000000002</v>
      </c>
      <c r="S38" s="12">
        <v>181.53711000000001</v>
      </c>
      <c r="T38" s="8">
        <v>122</v>
      </c>
      <c r="U38" s="7">
        <v>43669</v>
      </c>
      <c r="V38" s="8">
        <v>8105878312</v>
      </c>
      <c r="W38" s="11" t="s">
        <v>61</v>
      </c>
      <c r="X38" s="8" t="s">
        <v>80</v>
      </c>
      <c r="Y38" s="11" t="s">
        <v>81</v>
      </c>
      <c r="Z38" s="8" t="s">
        <v>62</v>
      </c>
      <c r="AA38" s="11" t="s">
        <v>63</v>
      </c>
      <c r="AB38" s="12">
        <f t="shared" si="1"/>
        <v>1.9984402999999999</v>
      </c>
    </row>
    <row r="39" spans="1:28" s="4" customFormat="1" ht="13" x14ac:dyDescent="0.3">
      <c r="A39" s="5">
        <v>558</v>
      </c>
      <c r="B39" s="6" t="s">
        <v>143</v>
      </c>
      <c r="C39" s="7">
        <v>43669</v>
      </c>
      <c r="D39" s="8">
        <v>13</v>
      </c>
      <c r="E39" s="9" t="s">
        <v>66</v>
      </c>
      <c r="F39" s="8" t="s">
        <v>162</v>
      </c>
      <c r="G39" s="11" t="s">
        <v>163</v>
      </c>
      <c r="H39" s="8" t="str">
        <f>"000072"</f>
        <v>000072</v>
      </c>
      <c r="I39" s="7">
        <v>43038</v>
      </c>
      <c r="J39" s="8" t="str">
        <f>"000037"</f>
        <v>000037</v>
      </c>
      <c r="K39" s="7">
        <v>43130</v>
      </c>
      <c r="L39" s="8" t="str">
        <f>"000084"</f>
        <v>000084</v>
      </c>
      <c r="M39" s="7">
        <v>43134</v>
      </c>
      <c r="N39" s="8">
        <v>18</v>
      </c>
      <c r="O39" s="8" t="str">
        <f>"003506"</f>
        <v>003506</v>
      </c>
      <c r="P39" s="7">
        <v>43663</v>
      </c>
      <c r="Q39" s="12">
        <v>199.99474000000001</v>
      </c>
      <c r="R39" s="12">
        <v>18.32893</v>
      </c>
      <c r="S39" s="12">
        <v>181.66580999999999</v>
      </c>
      <c r="T39" s="8">
        <v>122</v>
      </c>
      <c r="U39" s="7">
        <v>43669</v>
      </c>
      <c r="V39" s="8">
        <v>8105878312</v>
      </c>
      <c r="W39" s="11" t="s">
        <v>61</v>
      </c>
      <c r="X39" s="8" t="s">
        <v>80</v>
      </c>
      <c r="Y39" s="11" t="s">
        <v>81</v>
      </c>
      <c r="Z39" s="8" t="s">
        <v>62</v>
      </c>
      <c r="AA39" s="11" t="s">
        <v>63</v>
      </c>
      <c r="AB39" s="12">
        <f t="shared" si="1"/>
        <v>1.9999474000000002</v>
      </c>
    </row>
    <row r="40" spans="1:28" s="4" customFormat="1" ht="13" x14ac:dyDescent="0.3">
      <c r="A40" s="5">
        <v>559</v>
      </c>
      <c r="B40" s="6" t="s">
        <v>143</v>
      </c>
      <c r="C40" s="7">
        <v>43669</v>
      </c>
      <c r="D40" s="8">
        <v>13</v>
      </c>
      <c r="E40" s="9" t="s">
        <v>66</v>
      </c>
      <c r="F40" s="8" t="s">
        <v>164</v>
      </c>
      <c r="G40" s="11" t="s">
        <v>165</v>
      </c>
      <c r="H40" s="8" t="str">
        <f>"000144"</f>
        <v>000144</v>
      </c>
      <c r="I40" s="7">
        <v>43090</v>
      </c>
      <c r="J40" s="8" t="str">
        <f>"000041"</f>
        <v>000041</v>
      </c>
      <c r="K40" s="7">
        <v>43130</v>
      </c>
      <c r="L40" s="8" t="str">
        <f>"000085"</f>
        <v>000085</v>
      </c>
      <c r="M40" s="7">
        <v>43134</v>
      </c>
      <c r="N40" s="8">
        <v>18</v>
      </c>
      <c r="O40" s="8" t="str">
        <f>"003507"</f>
        <v>003507</v>
      </c>
      <c r="P40" s="7">
        <v>43663</v>
      </c>
      <c r="Q40" s="12">
        <v>49.8583</v>
      </c>
      <c r="R40" s="12">
        <v>4.6617600000000001</v>
      </c>
      <c r="S40" s="12">
        <v>45.196539999999999</v>
      </c>
      <c r="T40" s="8">
        <v>122</v>
      </c>
      <c r="U40" s="7">
        <v>43669</v>
      </c>
      <c r="V40" s="8">
        <v>8105878312</v>
      </c>
      <c r="W40" s="11" t="s">
        <v>61</v>
      </c>
      <c r="X40" s="8" t="s">
        <v>166</v>
      </c>
      <c r="Y40" s="11" t="s">
        <v>167</v>
      </c>
      <c r="Z40" s="8" t="s">
        <v>62</v>
      </c>
      <c r="AA40" s="11" t="s">
        <v>63</v>
      </c>
      <c r="AB40" s="12">
        <f t="shared" si="1"/>
        <v>0.498583</v>
      </c>
    </row>
    <row r="41" spans="1:28" s="4" customFormat="1" ht="13" x14ac:dyDescent="0.3">
      <c r="A41" s="5">
        <v>560</v>
      </c>
      <c r="B41" s="6" t="s">
        <v>143</v>
      </c>
      <c r="C41" s="7">
        <v>43669</v>
      </c>
      <c r="D41" s="8">
        <v>13</v>
      </c>
      <c r="E41" s="9" t="s">
        <v>66</v>
      </c>
      <c r="F41" s="8" t="s">
        <v>168</v>
      </c>
      <c r="G41" s="11" t="s">
        <v>169</v>
      </c>
      <c r="H41" s="8" t="str">
        <f>"000146"</f>
        <v>000146</v>
      </c>
      <c r="I41" s="7">
        <v>43090</v>
      </c>
      <c r="J41" s="8" t="str">
        <f>"000039"</f>
        <v>000039</v>
      </c>
      <c r="K41" s="7">
        <v>43130</v>
      </c>
      <c r="L41" s="8" t="str">
        <f>"000088"</f>
        <v>000088</v>
      </c>
      <c r="M41" s="7">
        <v>43134</v>
      </c>
      <c r="N41" s="8">
        <v>18</v>
      </c>
      <c r="O41" s="8" t="str">
        <f>"003508"</f>
        <v>003508</v>
      </c>
      <c r="P41" s="7">
        <v>43663</v>
      </c>
      <c r="Q41" s="12">
        <v>49.767969999999998</v>
      </c>
      <c r="R41" s="12">
        <v>4.6533899999999999</v>
      </c>
      <c r="S41" s="12">
        <v>45.114579999999997</v>
      </c>
      <c r="T41" s="8">
        <v>122</v>
      </c>
      <c r="U41" s="7">
        <v>43669</v>
      </c>
      <c r="V41" s="8">
        <v>8105878312</v>
      </c>
      <c r="W41" s="11" t="s">
        <v>61</v>
      </c>
      <c r="X41" s="8" t="s">
        <v>166</v>
      </c>
      <c r="Y41" s="11" t="s">
        <v>167</v>
      </c>
      <c r="Z41" s="8" t="s">
        <v>62</v>
      </c>
      <c r="AA41" s="11" t="s">
        <v>63</v>
      </c>
      <c r="AB41" s="12">
        <f t="shared" si="1"/>
        <v>0.4976797</v>
      </c>
    </row>
    <row r="42" spans="1:28" s="4" customFormat="1" ht="13" x14ac:dyDescent="0.3">
      <c r="A42" s="5">
        <v>561</v>
      </c>
      <c r="B42" s="6" t="s">
        <v>143</v>
      </c>
      <c r="C42" s="7">
        <v>43669</v>
      </c>
      <c r="D42" s="8">
        <v>13</v>
      </c>
      <c r="E42" s="9" t="s">
        <v>66</v>
      </c>
      <c r="F42" s="8" t="s">
        <v>170</v>
      </c>
      <c r="G42" s="11" t="s">
        <v>171</v>
      </c>
      <c r="H42" s="8" t="str">
        <f>"000143"</f>
        <v>000143</v>
      </c>
      <c r="I42" s="7">
        <v>43090</v>
      </c>
      <c r="J42" s="8" t="str">
        <f>"000040"</f>
        <v>000040</v>
      </c>
      <c r="K42" s="7">
        <v>43130</v>
      </c>
      <c r="L42" s="8" t="str">
        <f>"000089"</f>
        <v>000089</v>
      </c>
      <c r="M42" s="7">
        <v>43134</v>
      </c>
      <c r="N42" s="8">
        <v>18</v>
      </c>
      <c r="O42" s="8" t="str">
        <f>"003509"</f>
        <v>003509</v>
      </c>
      <c r="P42" s="7">
        <v>43663</v>
      </c>
      <c r="Q42" s="12">
        <v>49.935920000000003</v>
      </c>
      <c r="R42" s="12">
        <v>4.5669899999999997</v>
      </c>
      <c r="S42" s="12">
        <v>45.368929999999999</v>
      </c>
      <c r="T42" s="8">
        <v>122</v>
      </c>
      <c r="U42" s="7">
        <v>43669</v>
      </c>
      <c r="V42" s="8">
        <v>8105878312</v>
      </c>
      <c r="W42" s="11" t="s">
        <v>61</v>
      </c>
      <c r="X42" s="8" t="s">
        <v>166</v>
      </c>
      <c r="Y42" s="11" t="s">
        <v>167</v>
      </c>
      <c r="Z42" s="8" t="s">
        <v>62</v>
      </c>
      <c r="AA42" s="11" t="s">
        <v>63</v>
      </c>
      <c r="AB42" s="12">
        <f t="shared" si="1"/>
        <v>0.4993592</v>
      </c>
    </row>
    <row r="43" spans="1:28" s="4" customFormat="1" ht="13" x14ac:dyDescent="0.3">
      <c r="A43" s="5">
        <v>562</v>
      </c>
      <c r="B43" s="6" t="s">
        <v>143</v>
      </c>
      <c r="C43" s="7">
        <v>43669</v>
      </c>
      <c r="D43" s="8">
        <v>13</v>
      </c>
      <c r="E43" s="9" t="s">
        <v>66</v>
      </c>
      <c r="F43" s="8" t="s">
        <v>172</v>
      </c>
      <c r="G43" s="11" t="s">
        <v>173</v>
      </c>
      <c r="H43" s="8" t="str">
        <f>"000147"</f>
        <v>000147</v>
      </c>
      <c r="I43" s="7">
        <v>43090</v>
      </c>
      <c r="J43" s="8" t="str">
        <f>"000038"</f>
        <v>000038</v>
      </c>
      <c r="K43" s="7">
        <v>43130</v>
      </c>
      <c r="L43" s="8" t="str">
        <f>"000090"</f>
        <v>000090</v>
      </c>
      <c r="M43" s="7">
        <v>43134</v>
      </c>
      <c r="N43" s="8">
        <v>18</v>
      </c>
      <c r="O43" s="8" t="str">
        <f>"003510"</f>
        <v>003510</v>
      </c>
      <c r="P43" s="7">
        <v>43663</v>
      </c>
      <c r="Q43" s="12">
        <v>49.754370000000002</v>
      </c>
      <c r="R43" s="12">
        <v>4.6520299999999999</v>
      </c>
      <c r="S43" s="12">
        <v>45.102339999999998</v>
      </c>
      <c r="T43" s="8">
        <v>122</v>
      </c>
      <c r="U43" s="7">
        <v>43669</v>
      </c>
      <c r="V43" s="8">
        <v>8105878312</v>
      </c>
      <c r="W43" s="11" t="s">
        <v>61</v>
      </c>
      <c r="X43" s="8" t="s">
        <v>166</v>
      </c>
      <c r="Y43" s="11" t="s">
        <v>167</v>
      </c>
      <c r="Z43" s="8" t="s">
        <v>62</v>
      </c>
      <c r="AA43" s="11" t="s">
        <v>63</v>
      </c>
      <c r="AB43" s="12">
        <f t="shared" si="1"/>
        <v>0.49754370000000003</v>
      </c>
    </row>
    <row r="44" spans="1:28" s="4" customFormat="1" ht="13" x14ac:dyDescent="0.3">
      <c r="A44" s="5">
        <v>563</v>
      </c>
      <c r="B44" s="6" t="s">
        <v>143</v>
      </c>
      <c r="C44" s="7">
        <v>43669</v>
      </c>
      <c r="D44" s="8">
        <v>13</v>
      </c>
      <c r="E44" s="9" t="s">
        <v>66</v>
      </c>
      <c r="F44" s="8" t="s">
        <v>174</v>
      </c>
      <c r="G44" s="11" t="s">
        <v>175</v>
      </c>
      <c r="H44" s="8" t="str">
        <f>"000145"</f>
        <v>000145</v>
      </c>
      <c r="I44" s="7">
        <v>43090</v>
      </c>
      <c r="J44" s="8" t="str">
        <f>"000042"</f>
        <v>000042</v>
      </c>
      <c r="K44" s="7">
        <v>43130</v>
      </c>
      <c r="L44" s="8" t="str">
        <f>"000091"</f>
        <v>000091</v>
      </c>
      <c r="M44" s="7">
        <v>43134</v>
      </c>
      <c r="N44" s="8">
        <v>18</v>
      </c>
      <c r="O44" s="8" t="str">
        <f>"003511"</f>
        <v>003511</v>
      </c>
      <c r="P44" s="7">
        <v>43663</v>
      </c>
      <c r="Q44" s="12">
        <v>49.976500000000001</v>
      </c>
      <c r="R44" s="12">
        <v>4.6728300000000003</v>
      </c>
      <c r="S44" s="12">
        <v>45.303669999999997</v>
      </c>
      <c r="T44" s="8">
        <v>122</v>
      </c>
      <c r="U44" s="7">
        <v>43669</v>
      </c>
      <c r="V44" s="8">
        <v>8105878312</v>
      </c>
      <c r="W44" s="11" t="s">
        <v>61</v>
      </c>
      <c r="X44" s="8" t="s">
        <v>166</v>
      </c>
      <c r="Y44" s="11" t="s">
        <v>167</v>
      </c>
      <c r="Z44" s="8" t="s">
        <v>62</v>
      </c>
      <c r="AA44" s="11" t="s">
        <v>63</v>
      </c>
      <c r="AB44" s="12">
        <f t="shared" si="1"/>
        <v>0.49976500000000001</v>
      </c>
    </row>
    <row r="45" spans="1:28" s="4" customFormat="1" ht="13" x14ac:dyDescent="0.3">
      <c r="A45" s="5">
        <v>564</v>
      </c>
      <c r="B45" s="6" t="s">
        <v>143</v>
      </c>
      <c r="C45" s="7">
        <v>43669</v>
      </c>
      <c r="D45" s="8">
        <v>13</v>
      </c>
      <c r="E45" s="9" t="s">
        <v>66</v>
      </c>
      <c r="F45" s="8" t="s">
        <v>176</v>
      </c>
      <c r="G45" s="11" t="s">
        <v>177</v>
      </c>
      <c r="H45" s="8" t="str">
        <f>"000071"</f>
        <v>000071</v>
      </c>
      <c r="I45" s="7">
        <v>43032</v>
      </c>
      <c r="J45" s="8" t="str">
        <f>"000032"</f>
        <v>000032</v>
      </c>
      <c r="K45" s="7">
        <v>43116</v>
      </c>
      <c r="L45" s="8" t="str">
        <f>"000092"</f>
        <v>000092</v>
      </c>
      <c r="M45" s="7">
        <v>43134</v>
      </c>
      <c r="N45" s="8">
        <v>18</v>
      </c>
      <c r="O45" s="8" t="str">
        <f>"003512"</f>
        <v>003512</v>
      </c>
      <c r="P45" s="7">
        <v>43663</v>
      </c>
      <c r="Q45" s="12">
        <v>99.937179999999998</v>
      </c>
      <c r="R45" s="12">
        <v>9.0630699999999997</v>
      </c>
      <c r="S45" s="12">
        <v>90.874110000000002</v>
      </c>
      <c r="T45" s="8">
        <v>122</v>
      </c>
      <c r="U45" s="7">
        <v>43669</v>
      </c>
      <c r="V45" s="8">
        <v>8105878312</v>
      </c>
      <c r="W45" s="11" t="s">
        <v>61</v>
      </c>
      <c r="X45" s="8" t="s">
        <v>80</v>
      </c>
      <c r="Y45" s="11" t="s">
        <v>81</v>
      </c>
      <c r="Z45" s="8" t="s">
        <v>62</v>
      </c>
      <c r="AA45" s="11" t="s">
        <v>63</v>
      </c>
      <c r="AB45" s="12">
        <f t="shared" si="1"/>
        <v>0.99937180000000003</v>
      </c>
    </row>
    <row r="46" spans="1:28" s="4" customFormat="1" ht="13" x14ac:dyDescent="0.3">
      <c r="A46" s="5">
        <v>565</v>
      </c>
      <c r="B46" s="6" t="s">
        <v>143</v>
      </c>
      <c r="C46" s="7">
        <v>43669</v>
      </c>
      <c r="D46" s="8">
        <v>13</v>
      </c>
      <c r="E46" s="9" t="s">
        <v>66</v>
      </c>
      <c r="F46" s="8" t="s">
        <v>178</v>
      </c>
      <c r="G46" s="11" t="s">
        <v>179</v>
      </c>
      <c r="H46" s="8" t="str">
        <f>"000069"</f>
        <v>000069</v>
      </c>
      <c r="I46" s="7">
        <v>43032</v>
      </c>
      <c r="J46" s="8" t="str">
        <f>"000031"</f>
        <v>000031</v>
      </c>
      <c r="K46" s="7">
        <v>43116</v>
      </c>
      <c r="L46" s="8" t="str">
        <f>"000093"</f>
        <v>000093</v>
      </c>
      <c r="M46" s="7">
        <v>43134</v>
      </c>
      <c r="N46" s="8">
        <v>18</v>
      </c>
      <c r="O46" s="8" t="str">
        <f>"003513"</f>
        <v>003513</v>
      </c>
      <c r="P46" s="7">
        <v>43663</v>
      </c>
      <c r="Q46" s="12">
        <v>99.990319999999997</v>
      </c>
      <c r="R46" s="12">
        <v>8.8873800000000003</v>
      </c>
      <c r="S46" s="12">
        <v>91.102940000000004</v>
      </c>
      <c r="T46" s="8">
        <v>122</v>
      </c>
      <c r="U46" s="7">
        <v>43669</v>
      </c>
      <c r="V46" s="8">
        <v>8105878312</v>
      </c>
      <c r="W46" s="11" t="s">
        <v>61</v>
      </c>
      <c r="X46" s="8" t="s">
        <v>80</v>
      </c>
      <c r="Y46" s="11" t="s">
        <v>81</v>
      </c>
      <c r="Z46" s="8" t="s">
        <v>62</v>
      </c>
      <c r="AA46" s="11" t="s">
        <v>63</v>
      </c>
      <c r="AB46" s="12">
        <f t="shared" si="1"/>
        <v>0.99990319999999999</v>
      </c>
    </row>
    <row r="47" spans="1:28" s="4" customFormat="1" ht="13" x14ac:dyDescent="0.3">
      <c r="A47" s="5">
        <v>566</v>
      </c>
      <c r="B47" s="6" t="s">
        <v>180</v>
      </c>
      <c r="C47" s="7">
        <v>43686</v>
      </c>
      <c r="D47" s="8">
        <v>13</v>
      </c>
      <c r="E47" s="9" t="s">
        <v>66</v>
      </c>
      <c r="F47" s="8" t="s">
        <v>181</v>
      </c>
      <c r="G47" s="11" t="s">
        <v>182</v>
      </c>
      <c r="H47" s="8" t="str">
        <f>"000019"</f>
        <v>000019</v>
      </c>
      <c r="I47" s="7">
        <v>43508</v>
      </c>
      <c r="J47" s="8" t="str">
        <f>"000007"</f>
        <v>000007</v>
      </c>
      <c r="K47" s="7">
        <v>43645</v>
      </c>
      <c r="L47" s="8" t="str">
        <f>"000007"</f>
        <v>000007</v>
      </c>
      <c r="M47" s="7">
        <v>43645</v>
      </c>
      <c r="N47" s="8">
        <v>17</v>
      </c>
      <c r="O47" s="8" t="str">
        <f>"004355"</f>
        <v>004355</v>
      </c>
      <c r="P47" s="7">
        <v>43684</v>
      </c>
      <c r="Q47" s="12">
        <v>4.3182200000000002</v>
      </c>
      <c r="R47" s="12">
        <v>0.42670999999999998</v>
      </c>
      <c r="S47" s="12">
        <v>3.8915099999999998</v>
      </c>
      <c r="T47" s="8">
        <v>150</v>
      </c>
      <c r="U47" s="7">
        <v>43686</v>
      </c>
      <c r="V47" s="8">
        <v>8095000059</v>
      </c>
      <c r="W47" s="11" t="s">
        <v>183</v>
      </c>
      <c r="X47" s="8" t="s">
        <v>33</v>
      </c>
      <c r="Y47" s="11" t="s">
        <v>34</v>
      </c>
      <c r="Z47" s="8" t="s">
        <v>82</v>
      </c>
      <c r="AA47" s="11" t="s">
        <v>83</v>
      </c>
      <c r="AB47" s="12">
        <f t="shared" si="1"/>
        <v>4.3182200000000004E-2</v>
      </c>
    </row>
    <row r="48" spans="1:28" s="4" customFormat="1" ht="13" x14ac:dyDescent="0.3">
      <c r="A48" s="5">
        <v>567</v>
      </c>
      <c r="B48" s="6" t="s">
        <v>180</v>
      </c>
      <c r="C48" s="7">
        <v>43698</v>
      </c>
      <c r="D48" s="8">
        <v>13</v>
      </c>
      <c r="E48" s="9" t="s">
        <v>66</v>
      </c>
      <c r="F48" s="8" t="s">
        <v>96</v>
      </c>
      <c r="G48" s="11" t="s">
        <v>132</v>
      </c>
      <c r="H48" s="8" t="str">
        <f>"00013A"</f>
        <v>00013A</v>
      </c>
      <c r="I48" s="7">
        <v>42703</v>
      </c>
      <c r="J48" s="8" t="str">
        <f>"000052"</f>
        <v>000052</v>
      </c>
      <c r="K48" s="7">
        <v>42819</v>
      </c>
      <c r="L48" s="8" t="str">
        <f>"000058"</f>
        <v>000058</v>
      </c>
      <c r="M48" s="7">
        <v>42825</v>
      </c>
      <c r="N48" s="8">
        <v>16</v>
      </c>
      <c r="O48" s="8" t="str">
        <f>"006000"</f>
        <v>006000</v>
      </c>
      <c r="P48" s="7">
        <v>42998</v>
      </c>
      <c r="Q48" s="12">
        <v>3.3226100000000001</v>
      </c>
      <c r="R48" s="12">
        <v>0.44601000000000002</v>
      </c>
      <c r="S48" s="12">
        <v>2.8765999999999998</v>
      </c>
      <c r="T48" s="8">
        <v>161</v>
      </c>
      <c r="U48" s="7">
        <v>43698</v>
      </c>
      <c r="V48" s="8">
        <v>9448069096</v>
      </c>
      <c r="W48" s="11" t="s">
        <v>98</v>
      </c>
      <c r="X48" s="8" t="s">
        <v>31</v>
      </c>
      <c r="Y48" s="11" t="s">
        <v>32</v>
      </c>
      <c r="Z48" s="8" t="s">
        <v>64</v>
      </c>
      <c r="AA48" s="11" t="s">
        <v>65</v>
      </c>
      <c r="AB48" s="12">
        <f t="shared" si="1"/>
        <v>3.3226100000000001E-2</v>
      </c>
    </row>
    <row r="49" spans="1:28" s="4" customFormat="1" ht="13" x14ac:dyDescent="0.3">
      <c r="A49" s="5">
        <v>568</v>
      </c>
      <c r="B49" s="6" t="s">
        <v>184</v>
      </c>
      <c r="C49" s="7">
        <v>43719</v>
      </c>
      <c r="D49" s="8">
        <v>13</v>
      </c>
      <c r="E49" s="9" t="s">
        <v>66</v>
      </c>
      <c r="F49" s="8" t="s">
        <v>111</v>
      </c>
      <c r="G49" s="11" t="s">
        <v>112</v>
      </c>
      <c r="H49" s="8" t="str">
        <f>"000382"</f>
        <v>000382</v>
      </c>
      <c r="I49" s="7">
        <v>43531</v>
      </c>
      <c r="J49" s="8" t="str">
        <f>"000041"</f>
        <v>000041</v>
      </c>
      <c r="K49" s="7">
        <v>43668</v>
      </c>
      <c r="L49" s="8" t="str">
        <f>"000087"</f>
        <v>000087</v>
      </c>
      <c r="M49" s="7">
        <v>43669</v>
      </c>
      <c r="N49" s="8">
        <v>19</v>
      </c>
      <c r="O49" s="8" t="str">
        <f>"004881"</f>
        <v>004881</v>
      </c>
      <c r="P49" s="7">
        <v>43707</v>
      </c>
      <c r="Q49" s="12">
        <v>10.915850000000001</v>
      </c>
      <c r="R49" s="12">
        <v>1.2443</v>
      </c>
      <c r="S49" s="12">
        <v>9.6715499999999999</v>
      </c>
      <c r="T49" s="8">
        <v>182</v>
      </c>
      <c r="U49" s="7">
        <v>43719</v>
      </c>
      <c r="V49" s="8">
        <v>8792620231</v>
      </c>
      <c r="W49" s="11" t="s">
        <v>61</v>
      </c>
      <c r="X49" s="8" t="s">
        <v>51</v>
      </c>
      <c r="Y49" s="11" t="s">
        <v>52</v>
      </c>
      <c r="Z49" s="8" t="s">
        <v>62</v>
      </c>
      <c r="AA49" s="11" t="s">
        <v>63</v>
      </c>
      <c r="AB49" s="12">
        <f t="shared" si="1"/>
        <v>0.10915850000000001</v>
      </c>
    </row>
    <row r="50" spans="1:28" s="4" customFormat="1" ht="13" x14ac:dyDescent="0.3">
      <c r="A50" s="5">
        <v>569</v>
      </c>
      <c r="B50" s="6" t="s">
        <v>184</v>
      </c>
      <c r="C50" s="7">
        <v>43726</v>
      </c>
      <c r="D50" s="8">
        <v>13</v>
      </c>
      <c r="E50" s="9" t="s">
        <v>66</v>
      </c>
      <c r="F50" s="8" t="s">
        <v>185</v>
      </c>
      <c r="G50" s="11" t="s">
        <v>186</v>
      </c>
      <c r="H50" s="8" t="str">
        <f>"000028"</f>
        <v>000028</v>
      </c>
      <c r="I50" s="7">
        <v>43325</v>
      </c>
      <c r="J50" s="8" t="str">
        <f>"000040"</f>
        <v>000040</v>
      </c>
      <c r="K50" s="7">
        <v>43665</v>
      </c>
      <c r="L50" s="8" t="str">
        <f>"000088"</f>
        <v>000088</v>
      </c>
      <c r="M50" s="7">
        <v>43669</v>
      </c>
      <c r="N50" s="8">
        <v>17</v>
      </c>
      <c r="O50" s="8" t="str">
        <f>"005035"</f>
        <v>005035</v>
      </c>
      <c r="P50" s="7">
        <v>43720</v>
      </c>
      <c r="Q50" s="12">
        <v>8.5115499999999997</v>
      </c>
      <c r="R50" s="12">
        <v>0.35375000000000001</v>
      </c>
      <c r="S50" s="12">
        <v>8.1577999999999999</v>
      </c>
      <c r="T50" s="8">
        <v>191</v>
      </c>
      <c r="U50" s="7">
        <v>43726</v>
      </c>
      <c r="V50" s="8">
        <v>9972851320</v>
      </c>
      <c r="W50" s="11" t="s">
        <v>187</v>
      </c>
      <c r="X50" s="8" t="s">
        <v>188</v>
      </c>
      <c r="Y50" s="11" t="s">
        <v>189</v>
      </c>
      <c r="Z50" s="8" t="s">
        <v>62</v>
      </c>
      <c r="AA50" s="11" t="s">
        <v>63</v>
      </c>
      <c r="AB50" s="12">
        <f t="shared" si="1"/>
        <v>8.5115499999999997E-2</v>
      </c>
    </row>
    <row r="51" spans="1:28" s="4" customFormat="1" ht="13" x14ac:dyDescent="0.3">
      <c r="A51" s="5">
        <v>570</v>
      </c>
      <c r="B51" s="6" t="s">
        <v>184</v>
      </c>
      <c r="C51" s="7">
        <v>43726</v>
      </c>
      <c r="D51" s="8">
        <v>13</v>
      </c>
      <c r="E51" s="9" t="s">
        <v>66</v>
      </c>
      <c r="F51" s="8" t="s">
        <v>190</v>
      </c>
      <c r="G51" s="11" t="s">
        <v>191</v>
      </c>
      <c r="H51" s="8" t="str">
        <f>"000366"</f>
        <v>000366</v>
      </c>
      <c r="I51" s="7">
        <v>43523</v>
      </c>
      <c r="J51" s="8" t="str">
        <f>"000042"</f>
        <v>000042</v>
      </c>
      <c r="K51" s="7">
        <v>43671</v>
      </c>
      <c r="L51" s="8" t="str">
        <f>"000096"</f>
        <v>000096</v>
      </c>
      <c r="M51" s="7">
        <v>43677</v>
      </c>
      <c r="N51" s="8">
        <v>19</v>
      </c>
      <c r="O51" s="8" t="str">
        <f>"005040"</f>
        <v>005040</v>
      </c>
      <c r="P51" s="7">
        <v>43720</v>
      </c>
      <c r="Q51" s="12">
        <v>49.869689999999999</v>
      </c>
      <c r="R51" s="12">
        <v>1.93781</v>
      </c>
      <c r="S51" s="12">
        <v>47.93188</v>
      </c>
      <c r="T51" s="8">
        <v>191</v>
      </c>
      <c r="U51" s="7">
        <v>43726</v>
      </c>
      <c r="V51" s="8">
        <v>9845937211</v>
      </c>
      <c r="W51" s="11" t="s">
        <v>192</v>
      </c>
      <c r="X51" s="8" t="s">
        <v>193</v>
      </c>
      <c r="Y51" s="11" t="s">
        <v>194</v>
      </c>
      <c r="Z51" s="8" t="s">
        <v>62</v>
      </c>
      <c r="AA51" s="11" t="s">
        <v>63</v>
      </c>
      <c r="AB51" s="12">
        <f t="shared" si="1"/>
        <v>0.4986969</v>
      </c>
    </row>
    <row r="52" spans="1:28" s="4" customFormat="1" ht="13" x14ac:dyDescent="0.3">
      <c r="A52" s="5">
        <v>571</v>
      </c>
      <c r="B52" s="6" t="s">
        <v>184</v>
      </c>
      <c r="C52" s="7">
        <v>43731</v>
      </c>
      <c r="D52" s="8">
        <v>13</v>
      </c>
      <c r="E52" s="9" t="s">
        <v>66</v>
      </c>
      <c r="F52" s="8" t="s">
        <v>195</v>
      </c>
      <c r="G52" s="11" t="s">
        <v>196</v>
      </c>
      <c r="H52" s="8" t="str">
        <f>"000014"</f>
        <v>000014</v>
      </c>
      <c r="I52" s="7">
        <v>43236</v>
      </c>
      <c r="J52" s="8" t="str">
        <f>"000007"</f>
        <v>000007</v>
      </c>
      <c r="K52" s="7">
        <v>43242</v>
      </c>
      <c r="L52" s="8" t="str">
        <f>"000005"</f>
        <v>000005</v>
      </c>
      <c r="M52" s="7">
        <v>43242</v>
      </c>
      <c r="N52" s="8">
        <v>18</v>
      </c>
      <c r="O52" s="8" t="str">
        <f>"005152"</f>
        <v>005152</v>
      </c>
      <c r="P52" s="7">
        <v>43726</v>
      </c>
      <c r="Q52" s="12">
        <v>24.956309999999998</v>
      </c>
      <c r="R52" s="12">
        <v>2.0215100000000001</v>
      </c>
      <c r="S52" s="12">
        <v>22.934799999999999</v>
      </c>
      <c r="T52" s="8">
        <v>197</v>
      </c>
      <c r="U52" s="7">
        <v>43731</v>
      </c>
      <c r="V52" s="8">
        <v>9986313631</v>
      </c>
      <c r="W52" s="11" t="s">
        <v>197</v>
      </c>
      <c r="X52" s="8" t="s">
        <v>39</v>
      </c>
      <c r="Y52" s="11" t="s">
        <v>40</v>
      </c>
      <c r="Z52" s="8" t="s">
        <v>64</v>
      </c>
      <c r="AA52" s="11" t="s">
        <v>65</v>
      </c>
      <c r="AB52" s="12">
        <f t="shared" si="1"/>
        <v>0.24956309999999998</v>
      </c>
    </row>
    <row r="53" spans="1:28" s="4" customFormat="1" ht="13" x14ac:dyDescent="0.3">
      <c r="A53" s="5">
        <v>572</v>
      </c>
      <c r="B53" s="6" t="s">
        <v>184</v>
      </c>
      <c r="C53" s="7">
        <v>43731</v>
      </c>
      <c r="D53" s="8">
        <v>13</v>
      </c>
      <c r="E53" s="9" t="s">
        <v>66</v>
      </c>
      <c r="F53" s="8" t="s">
        <v>198</v>
      </c>
      <c r="G53" s="11" t="s">
        <v>199</v>
      </c>
      <c r="H53" s="8" t="str">
        <f>"000015"</f>
        <v>000015</v>
      </c>
      <c r="I53" s="7">
        <v>43236</v>
      </c>
      <c r="J53" s="8" t="str">
        <f>"000008"</f>
        <v>000008</v>
      </c>
      <c r="K53" s="7">
        <v>43242</v>
      </c>
      <c r="L53" s="8" t="str">
        <f>"000006"</f>
        <v>000006</v>
      </c>
      <c r="M53" s="7">
        <v>43242</v>
      </c>
      <c r="N53" s="8">
        <v>18</v>
      </c>
      <c r="O53" s="8" t="str">
        <f>"005153"</f>
        <v>005153</v>
      </c>
      <c r="P53" s="7">
        <v>43726</v>
      </c>
      <c r="Q53" s="12">
        <v>24.942489999999999</v>
      </c>
      <c r="R53" s="12">
        <v>2.0203899999999999</v>
      </c>
      <c r="S53" s="12">
        <v>22.9221</v>
      </c>
      <c r="T53" s="8">
        <v>197</v>
      </c>
      <c r="U53" s="7">
        <v>43731</v>
      </c>
      <c r="V53" s="8">
        <v>9986313631</v>
      </c>
      <c r="W53" s="11" t="s">
        <v>110</v>
      </c>
      <c r="X53" s="8" t="s">
        <v>39</v>
      </c>
      <c r="Y53" s="11" t="s">
        <v>40</v>
      </c>
      <c r="Z53" s="8" t="s">
        <v>64</v>
      </c>
      <c r="AA53" s="11" t="s">
        <v>65</v>
      </c>
      <c r="AB53" s="12">
        <f t="shared" si="1"/>
        <v>0.2494249</v>
      </c>
    </row>
    <row r="54" spans="1:28" s="4" customFormat="1" ht="13" x14ac:dyDescent="0.3">
      <c r="A54" s="5">
        <v>573</v>
      </c>
      <c r="B54" s="6" t="s">
        <v>184</v>
      </c>
      <c r="C54" s="7">
        <v>43734</v>
      </c>
      <c r="D54" s="8">
        <v>13</v>
      </c>
      <c r="E54" s="9" t="s">
        <v>66</v>
      </c>
      <c r="F54" s="8" t="s">
        <v>86</v>
      </c>
      <c r="G54" s="11" t="s">
        <v>87</v>
      </c>
      <c r="H54" s="8" t="str">
        <f>"000001"</f>
        <v>000001</v>
      </c>
      <c r="I54" s="7">
        <v>43033</v>
      </c>
      <c r="J54" s="8" t="str">
        <f>"000016"</f>
        <v>000016</v>
      </c>
      <c r="K54" s="7">
        <v>43342</v>
      </c>
      <c r="L54" s="8" t="str">
        <f>"000017"</f>
        <v>000017</v>
      </c>
      <c r="M54" s="7">
        <v>43342</v>
      </c>
      <c r="N54" s="8">
        <v>17</v>
      </c>
      <c r="O54" s="8" t="str">
        <f>"005391"</f>
        <v>005391</v>
      </c>
      <c r="P54" s="7">
        <v>43731</v>
      </c>
      <c r="Q54" s="12">
        <v>13.75151</v>
      </c>
      <c r="R54" s="12">
        <v>1.2857700000000001</v>
      </c>
      <c r="S54" s="12">
        <v>12.46574</v>
      </c>
      <c r="T54" s="8">
        <v>203</v>
      </c>
      <c r="U54" s="7">
        <v>43734</v>
      </c>
      <c r="V54" s="8">
        <v>9448507053</v>
      </c>
      <c r="W54" s="11" t="s">
        <v>61</v>
      </c>
      <c r="X54" s="8" t="s">
        <v>53</v>
      </c>
      <c r="Y54" s="11" t="s">
        <v>54</v>
      </c>
      <c r="Z54" s="8" t="s">
        <v>82</v>
      </c>
      <c r="AA54" s="11" t="s">
        <v>83</v>
      </c>
      <c r="AB54" s="12">
        <f t="shared" si="1"/>
        <v>0.1375151</v>
      </c>
    </row>
    <row r="55" spans="1:28" s="4" customFormat="1" ht="13" x14ac:dyDescent="0.3">
      <c r="A55" s="5">
        <v>574</v>
      </c>
      <c r="B55" s="6" t="s">
        <v>184</v>
      </c>
      <c r="C55" s="7">
        <v>43734</v>
      </c>
      <c r="D55" s="8">
        <v>13</v>
      </c>
      <c r="E55" s="9" t="s">
        <v>66</v>
      </c>
      <c r="F55" s="8" t="s">
        <v>84</v>
      </c>
      <c r="G55" s="11" t="s">
        <v>85</v>
      </c>
      <c r="H55" s="8" t="str">
        <f>"000002"</f>
        <v>000002</v>
      </c>
      <c r="I55" s="7">
        <v>43033</v>
      </c>
      <c r="J55" s="8" t="str">
        <f>"000017"</f>
        <v>000017</v>
      </c>
      <c r="K55" s="7">
        <v>43342</v>
      </c>
      <c r="L55" s="8" t="str">
        <f>"000018"</f>
        <v>000018</v>
      </c>
      <c r="M55" s="7">
        <v>43342</v>
      </c>
      <c r="N55" s="8">
        <v>17</v>
      </c>
      <c r="O55" s="8" t="str">
        <f>"005392"</f>
        <v>005392</v>
      </c>
      <c r="P55" s="7">
        <v>43731</v>
      </c>
      <c r="Q55" s="12">
        <v>14.404909999999999</v>
      </c>
      <c r="R55" s="12">
        <v>1.3468599999999999</v>
      </c>
      <c r="S55" s="12">
        <v>13.05805</v>
      </c>
      <c r="T55" s="8">
        <v>203</v>
      </c>
      <c r="U55" s="7">
        <v>43734</v>
      </c>
      <c r="V55" s="8">
        <v>9448507053</v>
      </c>
      <c r="W55" s="11" t="s">
        <v>61</v>
      </c>
      <c r="X55" s="8" t="s">
        <v>53</v>
      </c>
      <c r="Y55" s="11" t="s">
        <v>54</v>
      </c>
      <c r="Z55" s="8" t="s">
        <v>82</v>
      </c>
      <c r="AA55" s="11" t="s">
        <v>83</v>
      </c>
      <c r="AB55" s="12">
        <f t="shared" si="1"/>
        <v>0.14404909999999999</v>
      </c>
    </row>
    <row r="56" spans="1:28" s="4" customFormat="1" ht="13" x14ac:dyDescent="0.3">
      <c r="A56" s="5">
        <v>575</v>
      </c>
      <c r="B56" s="6" t="s">
        <v>200</v>
      </c>
      <c r="C56" s="7">
        <v>43752</v>
      </c>
      <c r="D56" s="5">
        <v>13</v>
      </c>
      <c r="E56" s="9" t="s">
        <v>66</v>
      </c>
      <c r="F56" s="8" t="s">
        <v>201</v>
      </c>
      <c r="G56" s="9" t="s">
        <v>202</v>
      </c>
      <c r="H56" s="8" t="str">
        <f>"000339"</f>
        <v>000339</v>
      </c>
      <c r="I56" s="7">
        <v>43182</v>
      </c>
      <c r="J56" s="8" t="str">
        <f>"000002"</f>
        <v>000002</v>
      </c>
      <c r="K56" s="7">
        <v>43220</v>
      </c>
      <c r="L56" s="8" t="str">
        <f>"000024"</f>
        <v>000024</v>
      </c>
      <c r="M56" s="7">
        <v>43220</v>
      </c>
      <c r="N56" s="8">
        <v>18</v>
      </c>
      <c r="O56" s="8" t="str">
        <f>"005499"</f>
        <v>005499</v>
      </c>
      <c r="P56" s="7">
        <v>43739</v>
      </c>
      <c r="Q56" s="10">
        <v>29.001799999999999</v>
      </c>
      <c r="R56" s="10">
        <v>1.0464599999999999</v>
      </c>
      <c r="S56" s="10">
        <v>27.95534</v>
      </c>
      <c r="T56" s="8">
        <v>13</v>
      </c>
      <c r="U56" s="7">
        <v>43752</v>
      </c>
      <c r="V56" s="8">
        <v>9900025678</v>
      </c>
      <c r="W56" s="9" t="s">
        <v>203</v>
      </c>
      <c r="X56" s="8" t="s">
        <v>36</v>
      </c>
      <c r="Y56" s="9" t="s">
        <v>37</v>
      </c>
      <c r="Z56" s="8" t="s">
        <v>62</v>
      </c>
      <c r="AA56" s="9" t="s">
        <v>63</v>
      </c>
      <c r="AB56" s="10">
        <v>0.290018</v>
      </c>
    </row>
    <row r="57" spans="1:28" s="4" customFormat="1" ht="13" x14ac:dyDescent="0.3">
      <c r="A57" s="5">
        <v>576</v>
      </c>
      <c r="B57" s="6" t="s">
        <v>200</v>
      </c>
      <c r="C57" s="7">
        <v>43752</v>
      </c>
      <c r="D57" s="5">
        <v>13</v>
      </c>
      <c r="E57" s="9" t="s">
        <v>66</v>
      </c>
      <c r="F57" s="8" t="s">
        <v>204</v>
      </c>
      <c r="G57" s="9" t="s">
        <v>205</v>
      </c>
      <c r="H57" s="8" t="str">
        <f>"000258"</f>
        <v>000258</v>
      </c>
      <c r="I57" s="7">
        <v>43165</v>
      </c>
      <c r="J57" s="8" t="str">
        <f>"000004"</f>
        <v>000004</v>
      </c>
      <c r="K57" s="7">
        <v>43220</v>
      </c>
      <c r="L57" s="8" t="str">
        <f>"000025"</f>
        <v>000025</v>
      </c>
      <c r="M57" s="7">
        <v>43220</v>
      </c>
      <c r="N57" s="8">
        <v>18</v>
      </c>
      <c r="O57" s="8" t="str">
        <f>"005500"</f>
        <v>005500</v>
      </c>
      <c r="P57" s="7">
        <v>43739</v>
      </c>
      <c r="Q57" s="10">
        <v>17.740410000000001</v>
      </c>
      <c r="R57" s="10">
        <v>0.66044000000000003</v>
      </c>
      <c r="S57" s="10">
        <v>17.079969999999999</v>
      </c>
      <c r="T57" s="8">
        <v>13</v>
      </c>
      <c r="U57" s="7">
        <v>43752</v>
      </c>
      <c r="V57" s="8">
        <v>9900025678</v>
      </c>
      <c r="W57" s="9" t="s">
        <v>203</v>
      </c>
      <c r="X57" s="8" t="s">
        <v>36</v>
      </c>
      <c r="Y57" s="9" t="s">
        <v>37</v>
      </c>
      <c r="Z57" s="8" t="s">
        <v>62</v>
      </c>
      <c r="AA57" s="9" t="s">
        <v>63</v>
      </c>
      <c r="AB57" s="10">
        <v>0.17740410000000001</v>
      </c>
    </row>
    <row r="58" spans="1:28" s="4" customFormat="1" ht="13" x14ac:dyDescent="0.3">
      <c r="A58" s="5">
        <v>577</v>
      </c>
      <c r="B58" s="6" t="s">
        <v>200</v>
      </c>
      <c r="C58" s="7">
        <v>43752</v>
      </c>
      <c r="D58" s="5">
        <v>13</v>
      </c>
      <c r="E58" s="9" t="s">
        <v>66</v>
      </c>
      <c r="F58" s="8" t="s">
        <v>206</v>
      </c>
      <c r="G58" s="9" t="s">
        <v>207</v>
      </c>
      <c r="H58" s="8" t="str">
        <f>"000359"</f>
        <v>000359</v>
      </c>
      <c r="I58" s="7">
        <v>43185</v>
      </c>
      <c r="J58" s="8" t="str">
        <f>"000003"</f>
        <v>000003</v>
      </c>
      <c r="K58" s="7">
        <v>43220</v>
      </c>
      <c r="L58" s="8" t="str">
        <f>"000026"</f>
        <v>000026</v>
      </c>
      <c r="M58" s="7">
        <v>43220</v>
      </c>
      <c r="N58" s="8">
        <v>18</v>
      </c>
      <c r="O58" s="8" t="str">
        <f>"005501"</f>
        <v>005501</v>
      </c>
      <c r="P58" s="7">
        <v>43739</v>
      </c>
      <c r="Q58" s="10">
        <v>16.899380000000001</v>
      </c>
      <c r="R58" s="10">
        <v>0.61997999999999998</v>
      </c>
      <c r="S58" s="10">
        <v>16.279399999999999</v>
      </c>
      <c r="T58" s="8">
        <v>13</v>
      </c>
      <c r="U58" s="7">
        <v>43752</v>
      </c>
      <c r="V58" s="8">
        <v>9900025678</v>
      </c>
      <c r="W58" s="9" t="s">
        <v>203</v>
      </c>
      <c r="X58" s="8" t="s">
        <v>36</v>
      </c>
      <c r="Y58" s="9" t="s">
        <v>37</v>
      </c>
      <c r="Z58" s="8" t="s">
        <v>62</v>
      </c>
      <c r="AA58" s="9" t="s">
        <v>63</v>
      </c>
      <c r="AB58" s="10">
        <v>0.1689938</v>
      </c>
    </row>
    <row r="59" spans="1:28" s="4" customFormat="1" ht="13" x14ac:dyDescent="0.3">
      <c r="A59" s="5">
        <v>578</v>
      </c>
      <c r="B59" s="6" t="s">
        <v>200</v>
      </c>
      <c r="C59" s="7">
        <v>43752</v>
      </c>
      <c r="D59" s="5">
        <v>13</v>
      </c>
      <c r="E59" s="9" t="s">
        <v>66</v>
      </c>
      <c r="F59" s="8" t="s">
        <v>208</v>
      </c>
      <c r="G59" s="9" t="s">
        <v>209</v>
      </c>
      <c r="H59" s="8" t="str">
        <f>"000246"</f>
        <v>000246</v>
      </c>
      <c r="I59" s="7">
        <v>43159</v>
      </c>
      <c r="J59" s="8" t="str">
        <f>"000005"</f>
        <v>000005</v>
      </c>
      <c r="K59" s="7">
        <v>43220</v>
      </c>
      <c r="L59" s="8" t="str">
        <f>"000027"</f>
        <v>000027</v>
      </c>
      <c r="M59" s="7">
        <v>43220</v>
      </c>
      <c r="N59" s="8">
        <v>18</v>
      </c>
      <c r="O59" s="8" t="str">
        <f>"005502"</f>
        <v>005502</v>
      </c>
      <c r="P59" s="7">
        <v>43739</v>
      </c>
      <c r="Q59" s="10">
        <v>13.36016</v>
      </c>
      <c r="R59" s="10">
        <v>0.48815999999999998</v>
      </c>
      <c r="S59" s="10">
        <v>12.872</v>
      </c>
      <c r="T59" s="8">
        <v>13</v>
      </c>
      <c r="U59" s="7">
        <v>43752</v>
      </c>
      <c r="V59" s="8">
        <v>9449019009</v>
      </c>
      <c r="W59" s="9" t="s">
        <v>210</v>
      </c>
      <c r="X59" s="8" t="s">
        <v>36</v>
      </c>
      <c r="Y59" s="9" t="s">
        <v>37</v>
      </c>
      <c r="Z59" s="8" t="s">
        <v>62</v>
      </c>
      <c r="AA59" s="9" t="s">
        <v>63</v>
      </c>
      <c r="AB59" s="10">
        <v>0.13360160000000001</v>
      </c>
    </row>
    <row r="60" spans="1:28" s="4" customFormat="1" ht="13" x14ac:dyDescent="0.3">
      <c r="A60" s="5">
        <v>579</v>
      </c>
      <c r="B60" s="6" t="s">
        <v>200</v>
      </c>
      <c r="C60" s="7">
        <v>43769</v>
      </c>
      <c r="D60" s="5">
        <v>13</v>
      </c>
      <c r="E60" s="9" t="s">
        <v>66</v>
      </c>
      <c r="F60" s="8" t="s">
        <v>113</v>
      </c>
      <c r="G60" s="9" t="s">
        <v>114</v>
      </c>
      <c r="H60" s="8" t="str">
        <f>"000030"</f>
        <v>000030</v>
      </c>
      <c r="I60" s="7">
        <v>43326</v>
      </c>
      <c r="J60" s="8" t="str">
        <f>"000064"</f>
        <v>000064</v>
      </c>
      <c r="K60" s="7">
        <v>43707</v>
      </c>
      <c r="L60" s="8" t="str">
        <f>"000151"</f>
        <v>000151</v>
      </c>
      <c r="M60" s="7">
        <v>43711</v>
      </c>
      <c r="N60" s="8">
        <v>17</v>
      </c>
      <c r="O60" s="8" t="str">
        <f>"006036"</f>
        <v>006036</v>
      </c>
      <c r="P60" s="7">
        <v>43769</v>
      </c>
      <c r="Q60" s="10">
        <v>1.54</v>
      </c>
      <c r="R60" s="10">
        <v>0.154</v>
      </c>
      <c r="S60" s="10">
        <v>1.3859999999999999</v>
      </c>
      <c r="T60" s="8">
        <v>13</v>
      </c>
      <c r="U60" s="7">
        <v>43769</v>
      </c>
      <c r="V60" s="8">
        <v>9449219009</v>
      </c>
      <c r="W60" s="9" t="s">
        <v>115</v>
      </c>
      <c r="X60" s="8" t="s">
        <v>33</v>
      </c>
      <c r="Y60" s="9" t="s">
        <v>34</v>
      </c>
      <c r="Z60" s="8" t="s">
        <v>62</v>
      </c>
      <c r="AA60" s="9" t="s">
        <v>63</v>
      </c>
      <c r="AB60" s="10">
        <v>1.54E-2</v>
      </c>
    </row>
    <row r="61" spans="1:28" s="4" customFormat="1" ht="13" x14ac:dyDescent="0.3">
      <c r="A61" s="5">
        <v>580</v>
      </c>
      <c r="B61" s="6" t="s">
        <v>211</v>
      </c>
      <c r="C61" s="7">
        <v>43790</v>
      </c>
      <c r="D61" s="5">
        <v>13</v>
      </c>
      <c r="E61" s="9" t="s">
        <v>66</v>
      </c>
      <c r="F61" s="8" t="s">
        <v>155</v>
      </c>
      <c r="G61" s="9" t="s">
        <v>156</v>
      </c>
      <c r="H61" s="8" t="str">
        <f>"000340"</f>
        <v>000340</v>
      </c>
      <c r="I61" s="7">
        <v>43517</v>
      </c>
      <c r="J61" s="8" t="str">
        <f>"000071"</f>
        <v>000071</v>
      </c>
      <c r="K61" s="7">
        <v>43752</v>
      </c>
      <c r="L61" s="8" t="str">
        <f>"000168"</f>
        <v>000168</v>
      </c>
      <c r="M61" s="7">
        <v>43757</v>
      </c>
      <c r="N61" s="8">
        <v>19</v>
      </c>
      <c r="O61" s="8" t="str">
        <f>"006199"</f>
        <v>006199</v>
      </c>
      <c r="P61" s="7">
        <v>43781</v>
      </c>
      <c r="Q61" s="10">
        <v>31.332159999999998</v>
      </c>
      <c r="R61" s="10">
        <v>2.8751899999999999</v>
      </c>
      <c r="S61" s="10">
        <v>28.456969999999998</v>
      </c>
      <c r="T61" s="8">
        <v>13</v>
      </c>
      <c r="U61" s="7">
        <v>43790</v>
      </c>
      <c r="V61" s="8">
        <v>9448259024</v>
      </c>
      <c r="W61" s="9" t="s">
        <v>157</v>
      </c>
      <c r="X61" s="8" t="s">
        <v>158</v>
      </c>
      <c r="Y61" s="9" t="s">
        <v>159</v>
      </c>
      <c r="Z61" s="8" t="s">
        <v>62</v>
      </c>
      <c r="AA61" s="9" t="s">
        <v>63</v>
      </c>
      <c r="AB61" s="10">
        <v>0.31332159999999998</v>
      </c>
    </row>
    <row r="62" spans="1:28" s="4" customFormat="1" ht="13" x14ac:dyDescent="0.3">
      <c r="A62" s="5">
        <v>581</v>
      </c>
      <c r="B62" s="6" t="s">
        <v>212</v>
      </c>
      <c r="C62" s="7">
        <v>43805</v>
      </c>
      <c r="D62" s="5">
        <v>13</v>
      </c>
      <c r="E62" s="9" t="s">
        <v>66</v>
      </c>
      <c r="F62" s="8" t="s">
        <v>93</v>
      </c>
      <c r="G62" s="9" t="s">
        <v>94</v>
      </c>
      <c r="H62" s="8" t="str">
        <f>"000056"</f>
        <v>000056</v>
      </c>
      <c r="I62" s="7">
        <v>43186</v>
      </c>
      <c r="J62" s="8" t="str">
        <f>"000026"</f>
        <v>000026</v>
      </c>
      <c r="K62" s="7">
        <v>43444</v>
      </c>
      <c r="L62" s="8" t="str">
        <f>"000027"</f>
        <v>000027</v>
      </c>
      <c r="M62" s="7">
        <v>43460</v>
      </c>
      <c r="N62" s="8">
        <v>18</v>
      </c>
      <c r="O62" s="8" t="str">
        <f>"002298"</f>
        <v>002298</v>
      </c>
      <c r="P62" s="7">
        <v>43615</v>
      </c>
      <c r="Q62" s="10">
        <v>4.5</v>
      </c>
      <c r="R62" s="10">
        <v>0.45</v>
      </c>
      <c r="S62" s="10">
        <v>4.05</v>
      </c>
      <c r="T62" s="8">
        <v>13</v>
      </c>
      <c r="U62" s="7">
        <v>43805</v>
      </c>
      <c r="V62" s="8">
        <v>8792620231</v>
      </c>
      <c r="W62" s="9" t="s">
        <v>213</v>
      </c>
      <c r="X62" s="8" t="s">
        <v>44</v>
      </c>
      <c r="Y62" s="9" t="s">
        <v>43</v>
      </c>
      <c r="Z62" s="8" t="s">
        <v>82</v>
      </c>
      <c r="AA62" s="9" t="s">
        <v>83</v>
      </c>
      <c r="AB62" s="10">
        <v>4.4999999999999998E-2</v>
      </c>
    </row>
    <row r="63" spans="1:28" s="4" customFormat="1" ht="13" x14ac:dyDescent="0.3">
      <c r="A63" s="5">
        <v>582</v>
      </c>
      <c r="B63" s="6" t="s">
        <v>212</v>
      </c>
      <c r="C63" s="7">
        <v>43805</v>
      </c>
      <c r="D63" s="5">
        <v>13</v>
      </c>
      <c r="E63" s="9" t="s">
        <v>66</v>
      </c>
      <c r="F63" s="8" t="s">
        <v>96</v>
      </c>
      <c r="G63" s="9" t="s">
        <v>132</v>
      </c>
      <c r="H63" s="8" t="str">
        <f>"00013A"</f>
        <v>00013A</v>
      </c>
      <c r="I63" s="7">
        <v>42703</v>
      </c>
      <c r="J63" s="8" t="str">
        <f>"000052"</f>
        <v>000052</v>
      </c>
      <c r="K63" s="7">
        <v>42819</v>
      </c>
      <c r="L63" s="8" t="str">
        <f>"000058"</f>
        <v>000058</v>
      </c>
      <c r="M63" s="7">
        <v>42825</v>
      </c>
      <c r="N63" s="8">
        <v>16</v>
      </c>
      <c r="O63" s="8" t="str">
        <f>"006000"</f>
        <v>006000</v>
      </c>
      <c r="P63" s="7">
        <v>42998</v>
      </c>
      <c r="Q63" s="10">
        <v>3.3226100000000001</v>
      </c>
      <c r="R63" s="10">
        <v>0.47638999999999998</v>
      </c>
      <c r="S63" s="10">
        <v>2.8462200000000002</v>
      </c>
      <c r="T63" s="8">
        <v>13</v>
      </c>
      <c r="U63" s="7">
        <v>43805</v>
      </c>
      <c r="V63" s="8">
        <v>9448069096</v>
      </c>
      <c r="W63" s="9" t="s">
        <v>98</v>
      </c>
      <c r="X63" s="8" t="s">
        <v>31</v>
      </c>
      <c r="Y63" s="9" t="s">
        <v>32</v>
      </c>
      <c r="Z63" s="8" t="s">
        <v>64</v>
      </c>
      <c r="AA63" s="9" t="s">
        <v>65</v>
      </c>
      <c r="AB63" s="10">
        <v>3.3226100000000001E-2</v>
      </c>
    </row>
    <row r="64" spans="1:28" s="4" customFormat="1" ht="13" x14ac:dyDescent="0.3">
      <c r="A64" s="5">
        <v>583</v>
      </c>
      <c r="B64" s="6" t="s">
        <v>212</v>
      </c>
      <c r="C64" s="7">
        <v>43818</v>
      </c>
      <c r="D64" s="5">
        <v>13</v>
      </c>
      <c r="E64" s="9" t="s">
        <v>66</v>
      </c>
      <c r="F64" s="8" t="s">
        <v>214</v>
      </c>
      <c r="G64" s="9" t="s">
        <v>215</v>
      </c>
      <c r="H64" s="8" t="str">
        <f>"000346"</f>
        <v>000346</v>
      </c>
      <c r="I64" s="7">
        <v>43640</v>
      </c>
      <c r="J64" s="8" t="str">
        <f>"000075"</f>
        <v>000075</v>
      </c>
      <c r="K64" s="7">
        <v>43773</v>
      </c>
      <c r="L64" s="8" t="str">
        <f>"000186"</f>
        <v>000186</v>
      </c>
      <c r="M64" s="7">
        <v>43777</v>
      </c>
      <c r="N64" s="8">
        <v>18</v>
      </c>
      <c r="O64" s="8" t="str">
        <f>"006864"</f>
        <v>006864</v>
      </c>
      <c r="P64" s="7">
        <v>43816</v>
      </c>
      <c r="Q64" s="10">
        <v>29.966899999999999</v>
      </c>
      <c r="R64" s="10">
        <v>2.96245</v>
      </c>
      <c r="S64" s="10">
        <v>27.004449999999999</v>
      </c>
      <c r="T64" s="8">
        <v>13</v>
      </c>
      <c r="U64" s="7">
        <v>43818</v>
      </c>
      <c r="V64" s="8">
        <v>9845736688</v>
      </c>
      <c r="W64" s="9" t="s">
        <v>61</v>
      </c>
      <c r="X64" s="8" t="s">
        <v>193</v>
      </c>
      <c r="Y64" s="9" t="s">
        <v>194</v>
      </c>
      <c r="Z64" s="8" t="s">
        <v>62</v>
      </c>
      <c r="AA64" s="9" t="s">
        <v>63</v>
      </c>
      <c r="AB64" s="10">
        <v>0.29966899999999996</v>
      </c>
    </row>
    <row r="65" spans="1:28" s="4" customFormat="1" ht="13" x14ac:dyDescent="0.3">
      <c r="A65" s="5">
        <v>584</v>
      </c>
      <c r="B65" s="6" t="s">
        <v>212</v>
      </c>
      <c r="C65" s="7">
        <v>43818</v>
      </c>
      <c r="D65" s="5">
        <v>13</v>
      </c>
      <c r="E65" s="9" t="s">
        <v>66</v>
      </c>
      <c r="F65" s="8" t="s">
        <v>216</v>
      </c>
      <c r="G65" s="9" t="s">
        <v>217</v>
      </c>
      <c r="H65" s="8" t="str">
        <f>"000374"</f>
        <v>000374</v>
      </c>
      <c r="I65" s="7">
        <v>43690</v>
      </c>
      <c r="J65" s="8" t="str">
        <f>"000074"</f>
        <v>000074</v>
      </c>
      <c r="K65" s="7">
        <v>43773</v>
      </c>
      <c r="L65" s="8" t="str">
        <f>"000187"</f>
        <v>000187</v>
      </c>
      <c r="M65" s="7">
        <v>43777</v>
      </c>
      <c r="N65" s="8">
        <v>18</v>
      </c>
      <c r="O65" s="8" t="str">
        <f>"006865"</f>
        <v>006865</v>
      </c>
      <c r="P65" s="7">
        <v>43816</v>
      </c>
      <c r="Q65" s="10">
        <v>24.96641</v>
      </c>
      <c r="R65" s="10">
        <v>2.4681000000000002</v>
      </c>
      <c r="S65" s="10">
        <v>22.49831</v>
      </c>
      <c r="T65" s="8">
        <v>13</v>
      </c>
      <c r="U65" s="7">
        <v>43818</v>
      </c>
      <c r="V65" s="8">
        <v>9743188999</v>
      </c>
      <c r="W65" s="9" t="s">
        <v>61</v>
      </c>
      <c r="X65" s="8" t="s">
        <v>193</v>
      </c>
      <c r="Y65" s="9" t="s">
        <v>194</v>
      </c>
      <c r="Z65" s="8" t="s">
        <v>62</v>
      </c>
      <c r="AA65" s="9" t="s">
        <v>63</v>
      </c>
      <c r="AB65" s="10">
        <v>0.2496641</v>
      </c>
    </row>
    <row r="66" spans="1:28" s="4" customFormat="1" ht="13" x14ac:dyDescent="0.3">
      <c r="A66" s="5">
        <v>585</v>
      </c>
      <c r="B66" s="6" t="s">
        <v>212</v>
      </c>
      <c r="C66" s="7">
        <v>43820</v>
      </c>
      <c r="D66" s="5">
        <v>13</v>
      </c>
      <c r="E66" s="9" t="s">
        <v>66</v>
      </c>
      <c r="F66" s="8" t="s">
        <v>218</v>
      </c>
      <c r="G66" s="9" t="s">
        <v>219</v>
      </c>
      <c r="H66" s="8" t="str">
        <f>"000365"</f>
        <v>000365</v>
      </c>
      <c r="I66" s="7">
        <v>43675</v>
      </c>
      <c r="J66" s="8" t="str">
        <f>"000070"</f>
        <v>000070</v>
      </c>
      <c r="K66" s="7">
        <v>43728</v>
      </c>
      <c r="L66" s="8" t="str">
        <f>"000160"</f>
        <v>000160</v>
      </c>
      <c r="M66" s="7">
        <v>43729</v>
      </c>
      <c r="N66" s="8">
        <v>18</v>
      </c>
      <c r="O66" s="8" t="str">
        <f>"006900"</f>
        <v>006900</v>
      </c>
      <c r="P66" s="7">
        <v>43819</v>
      </c>
      <c r="Q66" s="10">
        <v>49.96725</v>
      </c>
      <c r="R66" s="10">
        <v>4.9396300000000002</v>
      </c>
      <c r="S66" s="10">
        <v>45.027619999999999</v>
      </c>
      <c r="T66" s="8">
        <v>13</v>
      </c>
      <c r="U66" s="7">
        <v>43820</v>
      </c>
      <c r="V66" s="8">
        <v>9448512985</v>
      </c>
      <c r="W66" s="9" t="s">
        <v>61</v>
      </c>
      <c r="X66" s="8" t="s">
        <v>193</v>
      </c>
      <c r="Y66" s="9" t="s">
        <v>194</v>
      </c>
      <c r="Z66" s="8" t="s">
        <v>62</v>
      </c>
      <c r="AA66" s="9" t="s">
        <v>63</v>
      </c>
      <c r="AB66" s="10">
        <v>0.49967250000000002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2020-01-28T11:32:51Z</dcterms:modified>
</cp:coreProperties>
</file>