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0" i="1" l="1"/>
  <c r="L80" i="1"/>
  <c r="J80" i="1"/>
  <c r="H80" i="1"/>
  <c r="O79" i="1"/>
  <c r="L79" i="1"/>
  <c r="J79" i="1"/>
  <c r="H79" i="1"/>
  <c r="O78" i="1"/>
  <c r="L78" i="1"/>
  <c r="J78" i="1"/>
  <c r="H78" i="1"/>
  <c r="O77" i="1"/>
  <c r="L77" i="1"/>
  <c r="J77" i="1"/>
  <c r="H77" i="1"/>
  <c r="O76" i="1"/>
  <c r="L76" i="1"/>
  <c r="J76" i="1"/>
  <c r="H76" i="1"/>
  <c r="O75" i="1"/>
  <c r="L75" i="1"/>
  <c r="J75" i="1"/>
  <c r="H75" i="1"/>
  <c r="O74" i="1"/>
  <c r="L74" i="1"/>
  <c r="J74" i="1"/>
  <c r="H74" i="1"/>
  <c r="O73" i="1"/>
  <c r="L73" i="1"/>
  <c r="J73" i="1"/>
  <c r="H73" i="1"/>
  <c r="AB72" i="1"/>
  <c r="O72" i="1"/>
  <c r="L72" i="1"/>
  <c r="J72" i="1"/>
  <c r="H72" i="1"/>
  <c r="AB71" i="1"/>
  <c r="O71" i="1"/>
  <c r="L71" i="1"/>
  <c r="J71" i="1"/>
  <c r="H71" i="1"/>
  <c r="AB70" i="1"/>
  <c r="O70" i="1"/>
  <c r="L70" i="1"/>
  <c r="J70" i="1"/>
  <c r="H70" i="1"/>
  <c r="AB69" i="1"/>
  <c r="O69" i="1"/>
  <c r="L69" i="1"/>
  <c r="J69" i="1"/>
  <c r="H69" i="1"/>
  <c r="AB68" i="1"/>
  <c r="O68" i="1"/>
  <c r="L68" i="1"/>
  <c r="J68" i="1"/>
  <c r="H68" i="1"/>
  <c r="AB67" i="1"/>
  <c r="O67" i="1"/>
  <c r="L67" i="1"/>
  <c r="J67" i="1"/>
  <c r="H67" i="1"/>
  <c r="AB66" i="1"/>
  <c r="O66" i="1"/>
  <c r="L66" i="1"/>
  <c r="J66" i="1"/>
  <c r="H66" i="1"/>
  <c r="AB65" i="1"/>
  <c r="O65" i="1"/>
  <c r="L65" i="1"/>
  <c r="J65" i="1"/>
  <c r="H65" i="1"/>
  <c r="AB64" i="1"/>
  <c r="O64" i="1"/>
  <c r="L64" i="1"/>
  <c r="J64" i="1"/>
  <c r="H64" i="1"/>
  <c r="AB63" i="1"/>
  <c r="O63" i="1"/>
  <c r="L63" i="1"/>
  <c r="J63" i="1"/>
  <c r="H63" i="1"/>
  <c r="AB62" i="1"/>
  <c r="O62" i="1"/>
  <c r="L62" i="1"/>
  <c r="J62" i="1"/>
  <c r="H62" i="1"/>
  <c r="AB61" i="1"/>
  <c r="O61" i="1"/>
  <c r="L61" i="1"/>
  <c r="J61" i="1"/>
  <c r="H61" i="1"/>
  <c r="AB60" i="1"/>
  <c r="O60" i="1"/>
  <c r="L60" i="1"/>
  <c r="J60" i="1"/>
  <c r="H60" i="1"/>
  <c r="AB59" i="1"/>
  <c r="O59" i="1"/>
  <c r="L59" i="1"/>
  <c r="J59" i="1"/>
  <c r="H59" i="1"/>
  <c r="AB58" i="1"/>
  <c r="O58" i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<sst xmlns="http://schemas.openxmlformats.org/spreadsheetml/2006/main" count="739" uniqueCount="207">
  <si>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</si>
  <si>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</si>
  <si>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</si>
  <si>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</si>
  <si>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</si>
  <si>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</si>
  <si>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</si>
  <si>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</si>
  <si>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</si>
  <si>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</si>
  <si>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</si>
  <si>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</si>
  <si>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</si>
  <si>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</si>
  <si>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</si>
  <si>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</si>
  <si>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</si>
  <si>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</si>
  <si>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</si>
  <si>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</si>
  <si>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</si>
  <si>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</si>
  <si>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</si>
  <si>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</si>
  <si>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</si>
  <si>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</si>
  <si>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</si>
  <si>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</si>
  <si>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</si>
  <si>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</si>
  <si>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</si>
  <si>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</si>
  <si>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</si>
  <si>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M/s.KRIDL</t>
  </si>
  <si>
    <t>M and R to Street Lights - Replacement of Burnt Bulbs etc. (Package)</t>
  </si>
  <si>
    <t>P0300</t>
  </si>
  <si>
    <t>P3409</t>
  </si>
  <si>
    <t>SFC Untied SC-SP/TSP Grant works</t>
  </si>
  <si>
    <t>P3111</t>
  </si>
  <si>
    <t>State Finance Commission Untied Grant Works</t>
  </si>
  <si>
    <t>P3158</t>
  </si>
  <si>
    <t>SIP Infrastructure Project works</t>
  </si>
  <si>
    <t>P3293</t>
  </si>
  <si>
    <t>14th Finance Commission Works - Drinking Water</t>
  </si>
  <si>
    <t>P3075</t>
  </si>
  <si>
    <t>Special comprehensive development works in Bangalore city (Bangalore city in charge Minister Discretionary Grants)</t>
  </si>
  <si>
    <t>P1878</t>
  </si>
  <si>
    <t>18per - Works (Bhagyajyothi, Sooru / Neeru Yojane and General) (54 Lakhs / New Wards)</t>
  </si>
  <si>
    <t>Executive Engineer KRIDL</t>
  </si>
  <si>
    <t>Executive Engineer, KRIDL</t>
  </si>
  <si>
    <t>ddo009</t>
  </si>
  <si>
    <t xml:space="preserve"> Executive Engineer (Electrical) Rajarajeshwari Nagar Zone</t>
  </si>
  <si>
    <t>Ganga Enterprises Prop S.N Pradeep Kumar</t>
  </si>
  <si>
    <t>Ullalu</t>
  </si>
  <si>
    <t>130-18-000069</t>
  </si>
  <si>
    <t>Providing R O Plant in Shivanapalya in ward no 130</t>
  </si>
  <si>
    <t>M/S KRIDL</t>
  </si>
  <si>
    <t>ddo012</t>
  </si>
  <si>
    <t xml:space="preserve"> Assistant Executive Engineer Kengeri Sub Division Rajarajeshwari Nagar Zone</t>
  </si>
  <si>
    <t>130-18-000036</t>
  </si>
  <si>
    <t>Providing Borewells and pipelines in ward no 130 Ullalu</t>
  </si>
  <si>
    <t>130-16-000001</t>
  </si>
  <si>
    <t>Operation and Maintenance of Street Light System in Ward No.130-Ullalu(P-Ullalu) Package R31 of RajarajeshwariNagar Zone.</t>
  </si>
  <si>
    <t>M/S Venkteshwara Electricals</t>
  </si>
  <si>
    <t>130-16-000003</t>
  </si>
  <si>
    <t>Operation and Maintenance of Street Light System in Ward No.130-Ullalu(P-Dubasipalya) Package R33 of RajarajeshwariNagar Zone.</t>
  </si>
  <si>
    <t>M/S Venketeshwara Electricals</t>
  </si>
  <si>
    <t>130-16-000002</t>
  </si>
  <si>
    <t>Operation and Maintenance of Street Light System in Ward No.130-Ullalu(P-Nagadevanahalli) Package R32 of RajarajeshwariNagar Zone.</t>
  </si>
  <si>
    <t>130-19-000001</t>
  </si>
  <si>
    <t>Providing Consultancy Services for Preparation of Detailed Project Report (DPR) for the works listed in Package-2 of Kengeri Division under P-3111 (State Finance Commission Untiel Grant Works)</t>
  </si>
  <si>
    <t>M/S Accord Consultants</t>
  </si>
  <si>
    <t>M/S Mecadez Core Technologies Pvt Ltd</t>
  </si>
  <si>
    <t>130-18-000079</t>
  </si>
  <si>
    <t>Consultancy Services for Preparation of Detailed Project Report &amp; Detailed Est for Works under GOK grants P-3158 SIP Year 2017-18 in Kengeri Division RR Nagar Zone (5 Works)</t>
  </si>
  <si>
    <t>Civil Quality Consultants and Engineers</t>
  </si>
  <si>
    <t>130-17-000039</t>
  </si>
  <si>
    <t>Desilting of Tertiary Drains in KS town Valgerehalli Mini Gandhinagar Subhashnagar Bhagirathi Layout in Ward No 130</t>
  </si>
  <si>
    <t>The Technical Manager</t>
  </si>
  <si>
    <t>130-17-000038</t>
  </si>
  <si>
    <t>Improvements to roads and drains in Jagajyothi Basaveshwara Layout in Ward No 130</t>
  </si>
  <si>
    <t>130-17-000037</t>
  </si>
  <si>
    <t>Improvements to roads and drains in Upadhyaya Layout in Ward No 130</t>
  </si>
  <si>
    <t>M/S.KRIDL</t>
  </si>
  <si>
    <t>130-17-000029</t>
  </si>
  <si>
    <t>Maintenance of UGD works in Ward No 130</t>
  </si>
  <si>
    <t>130-19-000022</t>
  </si>
  <si>
    <t>Providing CC Drain at SC/ST Beneficiaries Area In Ward No 130 Ullal</t>
  </si>
  <si>
    <t>130-17-000046</t>
  </si>
  <si>
    <t>Improvements of roads near Gowrish House Doddagollarahatti in ward no 130</t>
  </si>
  <si>
    <t>130-17-000042</t>
  </si>
  <si>
    <t>Desilting of Tertiary Drains in RR Layout Jagajyothi Basaveshwara Layout Upadhyaya Layout Vinayaka Layout  in Ward No 130</t>
  </si>
  <si>
    <t>130-17-000060</t>
  </si>
  <si>
    <t>Providing CC Roads at Gandhinagara RAjkumaranagara in ward no 130</t>
  </si>
  <si>
    <t>130-17-000036</t>
  </si>
  <si>
    <t>Improvements to roads and drains in Nagadevanahalli  in Ward No 130</t>
  </si>
  <si>
    <t>130-17-000027</t>
  </si>
  <si>
    <t>Annual Maintenance of  the ward  in Ward No 130</t>
  </si>
  <si>
    <t>130-16-000006</t>
  </si>
  <si>
    <t>Emergency Works in Ward No 130 Ullal</t>
  </si>
  <si>
    <t>C.Shivakumargowda</t>
  </si>
  <si>
    <t>130-19-000035</t>
  </si>
  <si>
    <t>Providing CC Drains and Improvements to roads at SC-ST Beneficiary area at Gandhinagara Subhashnagara Rajkumarnagara and Surrounding area in ward no 130 Ullal</t>
  </si>
  <si>
    <t>July</t>
  </si>
  <si>
    <t>130-18-000006</t>
  </si>
  <si>
    <t>Asphalting to bad roads in Janabharathi 3rd stage in ward no 130</t>
  </si>
  <si>
    <t>P3350</t>
  </si>
  <si>
    <t>Developmental works at Yeshwanpura, RR Nagar, K.R Pura Assembly Constituency Rs.15.00 Cr Each</t>
  </si>
  <si>
    <t>130-18-000002</t>
  </si>
  <si>
    <t>Asphalting of Main roads and cross roads at Maruthinagar Sy No. 9 in ward no 130</t>
  </si>
  <si>
    <t>130-17-000053</t>
  </si>
  <si>
    <t>Improvements and Asphalting to Srinivasa layout and Kulume road in ward no 130</t>
  </si>
  <si>
    <t>130-18-000007</t>
  </si>
  <si>
    <t>Asphalting to surrounding road at Shivakumar Swamiji road in Nagadevanahalli in ward no 130</t>
  </si>
  <si>
    <t>130-18-000004</t>
  </si>
  <si>
    <t>Asphalting to main roads and cross roads at Nagadevanahalli Vinayaka layout in ward no 130</t>
  </si>
  <si>
    <t>130-18-000013</t>
  </si>
  <si>
    <t>Providing Asphalting to the roads in AGS Layout and Construction of Culverts in ward no 130.</t>
  </si>
  <si>
    <t>130-18-000008</t>
  </si>
  <si>
    <t>Asphalting to main and cross road at 1st Block Valagerahalli near Balamurali Temple area in ward no 130</t>
  </si>
  <si>
    <t>130-18-000009</t>
  </si>
  <si>
    <t>Asphalting to main roads and Cross roads at 3rd block Valagerahalli tank in ward no 130</t>
  </si>
  <si>
    <t>130-17-000032</t>
  </si>
  <si>
    <t>Construction of Culverts and missing culvert slabs at various places in Ward No 130</t>
  </si>
  <si>
    <t>130-19-000063</t>
  </si>
  <si>
    <t>Restoration of BWSSB Road cut portion in Ullal Village and surrounding area at ward no 130 Ullal</t>
  </si>
  <si>
    <t>B K Vinodkumar</t>
  </si>
  <si>
    <t>P0613</t>
  </si>
  <si>
    <t>Redoing of Road cut Portions (Deposit Contributions)</t>
  </si>
  <si>
    <t>130-19-000064</t>
  </si>
  <si>
    <t>Restoration of BWSSB Road cut portion in Sonnenahalli Village and surrounding area at ward no 130 Ullal</t>
  </si>
  <si>
    <t>130-18-000071</t>
  </si>
  <si>
    <t>Improvements of Roads and Drains at Dubasipalya cross Roads in ward no 130</t>
  </si>
  <si>
    <t>P3296</t>
  </si>
  <si>
    <t>14th Finance Commission Works - Road and Footpath Maintenance</t>
  </si>
  <si>
    <t>130-18-000016</t>
  </si>
  <si>
    <t>Improvements of drains CD s works and CC roads at Bhovi Colony in Mariyappanapalya in ward no 130</t>
  </si>
  <si>
    <t>130-17-000047</t>
  </si>
  <si>
    <t>Providing CC Roads at Nugli Palya Colony in ward no 130</t>
  </si>
  <si>
    <t>130-17-000045</t>
  </si>
  <si>
    <t>Improvements and Asphalting to main and cross roads at Nagadevanahalli area (Balance work) in ward no 130</t>
  </si>
  <si>
    <t>130-17-000061</t>
  </si>
  <si>
    <t>Improvements of roads and Missing bits of UGD works in Appanna layout Chikkabasthi in ward no 130</t>
  </si>
  <si>
    <t>130-17-000051</t>
  </si>
  <si>
    <t>Improvements and Asphalting to roads near Sollapuradamma Temple in ward no 130</t>
  </si>
  <si>
    <t>130-17-000055</t>
  </si>
  <si>
    <t>Improvements and Asphalting to Main and cross roads at 1st Block Jhnanbharathi in ward no 130</t>
  </si>
  <si>
    <t>130-17-000049</t>
  </si>
  <si>
    <t>Improvements and Asphalting to roads at Vekkalamma layout Basappa layout Gedde Gangayya House Ullal colony in ward no 130</t>
  </si>
  <si>
    <t>130-18-000020</t>
  </si>
  <si>
    <t>Providing Chainlink fencing and Improvements BBMP properties in ward no 130</t>
  </si>
  <si>
    <t>130-18-000021</t>
  </si>
  <si>
    <t>Improvements of drain and culverts at BDA 4th block Nagadevanahalli in Doddagollarahatti in ward no 130</t>
  </si>
  <si>
    <t>M/.KRIDL</t>
  </si>
  <si>
    <t>130-18-000018</t>
  </si>
  <si>
    <t>Improvementsof Drains CD Works and CC road near Red Stone Apartment at Doddgollarahatti School Surrounding area in ward no 130</t>
  </si>
  <si>
    <t>130-18-000012</t>
  </si>
  <si>
    <t>Improvements of drains and Culverts at NK and JK Form in ward no 130.</t>
  </si>
  <si>
    <t>KRIDL</t>
  </si>
  <si>
    <t>130-18-000011</t>
  </si>
  <si>
    <t>Improvements of Drains and Culverts CD s work at Doddahanumaiah road in ward no 130</t>
  </si>
  <si>
    <t>130-18-000015</t>
  </si>
  <si>
    <t>Improvements of drains and Culverts at Nagadevanahalli near Annapoorneshwari Temple in ward no 130.</t>
  </si>
  <si>
    <t>130-18-000081</t>
  </si>
  <si>
    <t>Improvements of drains and culverts at 2nd block Om Shakthi Temple surroundings in Ullal Upanagar in ward no 130</t>
  </si>
  <si>
    <t>August</t>
  </si>
  <si>
    <t>130-17-000041</t>
  </si>
  <si>
    <t>Desilting of Tertiary Drains in Bhuvaneshwarinagar 1st stage 2nd stage Kalyani Layout in Ward No 130</t>
  </si>
  <si>
    <t>130-17-000044</t>
  </si>
  <si>
    <t>Desilting of Tertiary Drains in MAnganahalli cross Ullalu Ullal Upanagar Basthi Doddabasthi Chikkabasthi in Ward No 130</t>
  </si>
  <si>
    <t>130-17-000043</t>
  </si>
  <si>
    <t>Desilting of Tertiary Drains in Mariyappnapalya Shivu Layout Gnanbharathi Layout(Nagadevanahalli) in Ward No 130</t>
  </si>
  <si>
    <t>130-18-000014</t>
  </si>
  <si>
    <t>Improvements of Drains and Culverts at Vinayaka Layout near Amma Ashrama in ward no 130.</t>
  </si>
  <si>
    <t>130-18-000022</t>
  </si>
  <si>
    <t>Improvements to drains and culverts at Byravanagar and Jagajyotrhi Layout in ward no 130</t>
  </si>
  <si>
    <t>130-18-000019</t>
  </si>
  <si>
    <t>Improvements of drains Culverts and CC Road at Dubasipalya in ward no 130.</t>
  </si>
  <si>
    <t>130-18-000017</t>
  </si>
  <si>
    <t>Improvements and Asphalting to Main and cross road at Jagajyothi Layout in ward no 130</t>
  </si>
  <si>
    <t>130-18-000001</t>
  </si>
  <si>
    <t>Providing Consultancy Services for Preparation of Detailed Project report (DPR) 22 Different Works under the P-3350 in Ward No.130 of Kengeri Division</t>
  </si>
  <si>
    <t>130-18-000003</t>
  </si>
  <si>
    <t>Asphalting to main roads and cross roads at Ullalbasthi surrounding area in ward no 130 .</t>
  </si>
  <si>
    <t>130-18-000010</t>
  </si>
  <si>
    <t>Improvements of Drains and Culverts at Bhuvaneshwari Nagar 1st 2nd and 3rd stage in ward no 130</t>
  </si>
  <si>
    <t>September</t>
  </si>
  <si>
    <t>M/s.Team For You</t>
  </si>
  <si>
    <t>Ms. Mecadez Core Technologies Private Limited</t>
  </si>
  <si>
    <t>130-19-000025</t>
  </si>
  <si>
    <t>Construction of Primary Health Care Centre in Ullal Upanagara at ward no 130</t>
  </si>
  <si>
    <t>B Siddegowda</t>
  </si>
  <si>
    <t>October</t>
  </si>
  <si>
    <t>130-17-000026</t>
  </si>
  <si>
    <t>Maintenance of Water Supply Works in Ward No 130</t>
  </si>
  <si>
    <t>130-17-000033</t>
  </si>
  <si>
    <t>Providing and Supplying of Borewells Pumps Motors cables and Accessories for Maintanance of Borewells in Ward No 130</t>
  </si>
  <si>
    <t>November</t>
  </si>
  <si>
    <t>130-18-000053</t>
  </si>
  <si>
    <t>Providing Consultancy Services for Construction supervision project management and quality control for the work Improvements of roads drains and Asphalting to main and cross roads at Dubasipalya N K and J K farm Jnanabharathi 3rd stage and RR Layout in ward no 130 Ullal, Package-4</t>
  </si>
  <si>
    <t>M.R. Girish Gowda</t>
  </si>
  <si>
    <t>P0190</t>
  </si>
  <si>
    <t>Works sanctioned by Hon Mayor</t>
  </si>
  <si>
    <t>130-18-000005</t>
  </si>
  <si>
    <t>Asphalting to drain and Culverts at Ramaiah and Annapoorneshwari layout in ward no 130</t>
  </si>
  <si>
    <t>130-17-000034</t>
  </si>
  <si>
    <t>Improvements to roads and drains in Bhuvaneshwarinagar 11th cross in Ward No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</si>
</sst>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0"/>
  <sheetViews>
    <sheetView tabSelected="1" workbookViewId="0">
      <selection activeCell="A2" sqref="A2:XFD80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4101</v>
      </c>
      <c r="B2" s="5" t="s">
        <v>28</v>
      </c>
      <c r="C2" s="6">
        <v>43566</v>
      </c>
      <c r="D2" s="7">
        <v>130</v>
      </c>
      <c r="E2" s="8" t="s">
        <v>53</v>
      </c>
      <c r="F2" s="7" t="s">
        <v>54</v>
      </c>
      <c r="G2" s="8" t="s">
        <v>55</v>
      </c>
      <c r="H2" s="7" t="str">
        <f>"000219"</f>
        <v>000219</v>
      </c>
      <c r="I2" s="6">
        <v>43305</v>
      </c>
      <c r="J2" s="7" t="str">
        <f>"000239"</f>
        <v>000239</v>
      </c>
      <c r="K2" s="6">
        <v>43529</v>
      </c>
      <c r="L2" s="7" t="str">
        <f>"000485"</f>
        <v>000485</v>
      </c>
      <c r="M2" s="6">
        <v>43535</v>
      </c>
      <c r="N2" s="7">
        <v>18</v>
      </c>
      <c r="O2" s="7" t="str">
        <f>"000317"</f>
        <v>000317</v>
      </c>
      <c r="P2" s="6">
        <v>43565</v>
      </c>
      <c r="Q2" s="9">
        <v>43.968339999999998</v>
      </c>
      <c r="R2" s="9">
        <v>4.4453500000000004</v>
      </c>
      <c r="S2" s="9">
        <v>39.52299</v>
      </c>
      <c r="T2" s="7">
        <v>16</v>
      </c>
      <c r="U2" s="6">
        <v>43566</v>
      </c>
      <c r="V2" s="7">
        <v>9845235505</v>
      </c>
      <c r="W2" s="8" t="s">
        <v>56</v>
      </c>
      <c r="X2" s="7" t="s">
        <v>42</v>
      </c>
      <c r="Y2" s="8" t="s">
        <v>43</v>
      </c>
      <c r="Z2" s="7" t="s">
        <v>57</v>
      </c>
      <c r="AA2" s="8" t="s">
        <v>58</v>
      </c>
      <c r="AB2" s="9">
        <f t="shared" ref="AB2:AB18" si="0">Q2/100</f>
        <v>0.4396834</v>
      </c>
    </row>
    <row r="3" spans="1:28" x14ac:dyDescent="0.35">
      <c r="A3" s="4">
        <v>4102</v>
      </c>
      <c r="B3" s="5" t="s">
        <v>28</v>
      </c>
      <c r="C3" s="6">
        <v>43566</v>
      </c>
      <c r="D3" s="7">
        <v>130</v>
      </c>
      <c r="E3" s="8" t="s">
        <v>53</v>
      </c>
      <c r="F3" s="7" t="s">
        <v>59</v>
      </c>
      <c r="G3" s="8" t="s">
        <v>60</v>
      </c>
      <c r="H3" s="7" t="str">
        <f>"000223"</f>
        <v>000223</v>
      </c>
      <c r="I3" s="6">
        <v>43320</v>
      </c>
      <c r="J3" s="7" t="str">
        <f>"000237"</f>
        <v>000237</v>
      </c>
      <c r="K3" s="6">
        <v>43529</v>
      </c>
      <c r="L3" s="7" t="str">
        <f>"000487"</f>
        <v>000487</v>
      </c>
      <c r="M3" s="6">
        <v>43535</v>
      </c>
      <c r="N3" s="7">
        <v>18</v>
      </c>
      <c r="O3" s="7" t="str">
        <f>"000318"</f>
        <v>000318</v>
      </c>
      <c r="P3" s="6">
        <v>43565</v>
      </c>
      <c r="Q3" s="9">
        <v>48.995440000000002</v>
      </c>
      <c r="R3" s="9">
        <v>4.97654</v>
      </c>
      <c r="S3" s="9">
        <v>44.018900000000002</v>
      </c>
      <c r="T3" s="7">
        <v>16</v>
      </c>
      <c r="U3" s="6">
        <v>43566</v>
      </c>
      <c r="V3" s="7">
        <v>9845235505</v>
      </c>
      <c r="W3" s="8" t="s">
        <v>56</v>
      </c>
      <c r="X3" s="7" t="s">
        <v>42</v>
      </c>
      <c r="Y3" s="8" t="s">
        <v>43</v>
      </c>
      <c r="Z3" s="7" t="s">
        <v>57</v>
      </c>
      <c r="AA3" s="8" t="s">
        <v>58</v>
      </c>
      <c r="AB3" s="9">
        <f t="shared" si="0"/>
        <v>0.48995440000000001</v>
      </c>
    </row>
    <row r="4" spans="1:28" x14ac:dyDescent="0.35">
      <c r="A4" s="4">
        <v>4103</v>
      </c>
      <c r="B4" s="5" t="s">
        <v>28</v>
      </c>
      <c r="C4" s="6">
        <v>43575</v>
      </c>
      <c r="D4" s="7">
        <v>130</v>
      </c>
      <c r="E4" s="8" t="s">
        <v>53</v>
      </c>
      <c r="F4" s="7" t="s">
        <v>61</v>
      </c>
      <c r="G4" s="8" t="s">
        <v>62</v>
      </c>
      <c r="H4" s="7" t="str">
        <f>"000018"</f>
        <v>000018</v>
      </c>
      <c r="I4" s="6">
        <v>42766</v>
      </c>
      <c r="J4" s="7" t="str">
        <f>"000031"</f>
        <v>000031</v>
      </c>
      <c r="K4" s="6">
        <v>43595</v>
      </c>
      <c r="L4" s="7" t="str">
        <f>"000031"</f>
        <v>000031</v>
      </c>
      <c r="M4" s="6">
        <v>43595</v>
      </c>
      <c r="N4" s="7">
        <v>16</v>
      </c>
      <c r="O4" s="7" t="str">
        <f>""</f>
        <v/>
      </c>
      <c r="P4" s="6"/>
      <c r="Q4" s="9">
        <v>5.3276500000000002</v>
      </c>
      <c r="R4" s="9">
        <v>0.46500999999999998</v>
      </c>
      <c r="S4" s="9">
        <v>4.8626399999999999</v>
      </c>
      <c r="T4" s="7">
        <v>20</v>
      </c>
      <c r="U4" s="6">
        <v>43575</v>
      </c>
      <c r="V4" s="7">
        <v>9845695444</v>
      </c>
      <c r="W4" s="8" t="s">
        <v>63</v>
      </c>
      <c r="X4" s="7" t="s">
        <v>35</v>
      </c>
      <c r="Y4" s="8" t="s">
        <v>34</v>
      </c>
      <c r="Z4" s="7" t="s">
        <v>50</v>
      </c>
      <c r="AA4" s="8" t="s">
        <v>51</v>
      </c>
      <c r="AB4" s="9">
        <f t="shared" si="0"/>
        <v>5.3276500000000004E-2</v>
      </c>
    </row>
    <row r="5" spans="1:28" x14ac:dyDescent="0.35">
      <c r="A5" s="4">
        <v>4104</v>
      </c>
      <c r="B5" s="5" t="s">
        <v>28</v>
      </c>
      <c r="C5" s="6">
        <v>43575</v>
      </c>
      <c r="D5" s="7">
        <v>130</v>
      </c>
      <c r="E5" s="8" t="s">
        <v>53</v>
      </c>
      <c r="F5" s="7" t="s">
        <v>64</v>
      </c>
      <c r="G5" s="8" t="s">
        <v>65</v>
      </c>
      <c r="H5" s="7" t="str">
        <f>"000020"</f>
        <v>000020</v>
      </c>
      <c r="I5" s="6">
        <v>42766</v>
      </c>
      <c r="J5" s="7" t="str">
        <f>"000030"</f>
        <v>000030</v>
      </c>
      <c r="K5" s="6">
        <v>43595</v>
      </c>
      <c r="L5" s="7" t="str">
        <f>"000030"</f>
        <v>000030</v>
      </c>
      <c r="M5" s="6">
        <v>43595</v>
      </c>
      <c r="N5" s="7">
        <v>16</v>
      </c>
      <c r="O5" s="7" t="str">
        <f>""</f>
        <v/>
      </c>
      <c r="P5" s="6"/>
      <c r="Q5" s="9">
        <v>5.2555899999999998</v>
      </c>
      <c r="R5" s="9">
        <v>0.46061999999999997</v>
      </c>
      <c r="S5" s="9">
        <v>4.7949700000000002</v>
      </c>
      <c r="T5" s="7">
        <v>20</v>
      </c>
      <c r="U5" s="6">
        <v>43575</v>
      </c>
      <c r="V5" s="7">
        <v>9845695444</v>
      </c>
      <c r="W5" s="8" t="s">
        <v>66</v>
      </c>
      <c r="X5" s="7" t="s">
        <v>35</v>
      </c>
      <c r="Y5" s="8" t="s">
        <v>34</v>
      </c>
      <c r="Z5" s="7" t="s">
        <v>50</v>
      </c>
      <c r="AA5" s="8" t="s">
        <v>51</v>
      </c>
      <c r="AB5" s="9">
        <f t="shared" si="0"/>
        <v>5.2555899999999996E-2</v>
      </c>
    </row>
    <row r="6" spans="1:28" x14ac:dyDescent="0.35">
      <c r="A6" s="4">
        <v>4105</v>
      </c>
      <c r="B6" s="5" t="s">
        <v>28</v>
      </c>
      <c r="C6" s="6">
        <v>43575</v>
      </c>
      <c r="D6" s="7">
        <v>130</v>
      </c>
      <c r="E6" s="8" t="s">
        <v>53</v>
      </c>
      <c r="F6" s="7" t="s">
        <v>67</v>
      </c>
      <c r="G6" s="8" t="s">
        <v>68</v>
      </c>
      <c r="H6" s="7" t="str">
        <f>"000019"</f>
        <v>000019</v>
      </c>
      <c r="I6" s="6">
        <v>42766</v>
      </c>
      <c r="J6" s="7" t="str">
        <f>"000013"</f>
        <v>000013</v>
      </c>
      <c r="K6" s="6">
        <v>43585</v>
      </c>
      <c r="L6" s="7" t="str">
        <f>"000013"</f>
        <v>000013</v>
      </c>
      <c r="M6" s="6">
        <v>43585</v>
      </c>
      <c r="N6" s="7">
        <v>16</v>
      </c>
      <c r="O6" s="7" t="str">
        <f>""</f>
        <v/>
      </c>
      <c r="P6" s="6"/>
      <c r="Q6" s="9">
        <v>5.9357600000000001</v>
      </c>
      <c r="R6" s="9">
        <v>0.50209999999999999</v>
      </c>
      <c r="S6" s="9">
        <v>5.4336599999999997</v>
      </c>
      <c r="T6" s="7">
        <v>20</v>
      </c>
      <c r="U6" s="6">
        <v>43575</v>
      </c>
      <c r="V6" s="7">
        <v>9620096296</v>
      </c>
      <c r="W6" s="8" t="s">
        <v>52</v>
      </c>
      <c r="X6" s="7" t="s">
        <v>35</v>
      </c>
      <c r="Y6" s="8" t="s">
        <v>34</v>
      </c>
      <c r="Z6" s="7" t="s">
        <v>50</v>
      </c>
      <c r="AA6" s="8" t="s">
        <v>51</v>
      </c>
      <c r="AB6" s="9">
        <f t="shared" si="0"/>
        <v>5.9357600000000003E-2</v>
      </c>
    </row>
    <row r="7" spans="1:28" x14ac:dyDescent="0.35">
      <c r="A7" s="4">
        <v>4106</v>
      </c>
      <c r="B7" s="5" t="s">
        <v>28</v>
      </c>
      <c r="C7" s="6">
        <v>43575</v>
      </c>
      <c r="D7" s="7">
        <v>130</v>
      </c>
      <c r="E7" s="8" t="s">
        <v>53</v>
      </c>
      <c r="F7" s="7" t="s">
        <v>67</v>
      </c>
      <c r="G7" s="8" t="s">
        <v>68</v>
      </c>
      <c r="H7" s="7" t="str">
        <f>"000019"</f>
        <v>000019</v>
      </c>
      <c r="I7" s="6">
        <v>42766</v>
      </c>
      <c r="J7" s="7" t="str">
        <f>"000013"</f>
        <v>000013</v>
      </c>
      <c r="K7" s="6">
        <v>43585</v>
      </c>
      <c r="L7" s="7" t="str">
        <f>"000013"</f>
        <v>000013</v>
      </c>
      <c r="M7" s="6">
        <v>43585</v>
      </c>
      <c r="N7" s="7">
        <v>16</v>
      </c>
      <c r="O7" s="7" t="str">
        <f>""</f>
        <v/>
      </c>
      <c r="P7" s="6"/>
      <c r="Q7" s="9">
        <v>3.3918599999999999</v>
      </c>
      <c r="R7" s="9">
        <v>0.45650000000000002</v>
      </c>
      <c r="S7" s="9">
        <v>2.9353600000000002</v>
      </c>
      <c r="T7" s="7">
        <v>20</v>
      </c>
      <c r="U7" s="6">
        <v>43575</v>
      </c>
      <c r="V7" s="7">
        <v>9620096296</v>
      </c>
      <c r="W7" s="8" t="s">
        <v>52</v>
      </c>
      <c r="X7" s="7" t="s">
        <v>35</v>
      </c>
      <c r="Y7" s="8" t="s">
        <v>34</v>
      </c>
      <c r="Z7" s="7" t="s">
        <v>50</v>
      </c>
      <c r="AA7" s="8" t="s">
        <v>51</v>
      </c>
      <c r="AB7" s="9">
        <f t="shared" si="0"/>
        <v>3.39186E-2</v>
      </c>
    </row>
    <row r="8" spans="1:28" x14ac:dyDescent="0.35">
      <c r="A8" s="4">
        <v>4107</v>
      </c>
      <c r="B8" s="5" t="s">
        <v>28</v>
      </c>
      <c r="C8" s="6">
        <v>43578</v>
      </c>
      <c r="D8" s="7">
        <v>130</v>
      </c>
      <c r="E8" s="8" t="s">
        <v>53</v>
      </c>
      <c r="F8" s="7" t="s">
        <v>69</v>
      </c>
      <c r="G8" s="8" t="s">
        <v>70</v>
      </c>
      <c r="H8" s="7" t="str">
        <f>"000237"</f>
        <v>000237</v>
      </c>
      <c r="I8" s="6">
        <v>43355</v>
      </c>
      <c r="J8" s="7" t="str">
        <f>"000254"</f>
        <v>000254</v>
      </c>
      <c r="K8" s="6">
        <v>43549</v>
      </c>
      <c r="L8" s="7" t="str">
        <f>"000001"</f>
        <v>000001</v>
      </c>
      <c r="M8" s="6">
        <v>43560</v>
      </c>
      <c r="N8" s="7">
        <v>19</v>
      </c>
      <c r="O8" s="7" t="str">
        <f>"000671"</f>
        <v>000671</v>
      </c>
      <c r="P8" s="6">
        <v>43571</v>
      </c>
      <c r="Q8" s="9">
        <v>4.5076000000000001</v>
      </c>
      <c r="R8" s="9">
        <v>0.45075999999999999</v>
      </c>
      <c r="S8" s="9">
        <v>4.0568400000000002</v>
      </c>
      <c r="T8" s="7">
        <v>25</v>
      </c>
      <c r="U8" s="6">
        <v>43578</v>
      </c>
      <c r="V8" s="7">
        <v>8618239904</v>
      </c>
      <c r="W8" s="8" t="s">
        <v>71</v>
      </c>
      <c r="X8" s="7" t="s">
        <v>38</v>
      </c>
      <c r="Y8" s="8" t="s">
        <v>39</v>
      </c>
      <c r="Z8" s="7" t="s">
        <v>57</v>
      </c>
      <c r="AA8" s="8" t="s">
        <v>58</v>
      </c>
      <c r="AB8" s="9">
        <f t="shared" si="0"/>
        <v>4.5075999999999998E-2</v>
      </c>
    </row>
    <row r="9" spans="1:28" x14ac:dyDescent="0.35">
      <c r="A9" s="4">
        <v>4108</v>
      </c>
      <c r="B9" s="5" t="s">
        <v>28</v>
      </c>
      <c r="C9" s="6">
        <v>43578</v>
      </c>
      <c r="D9" s="7">
        <v>130</v>
      </c>
      <c r="E9" s="8" t="s">
        <v>53</v>
      </c>
      <c r="F9" s="7" t="s">
        <v>69</v>
      </c>
      <c r="G9" s="8" t="s">
        <v>70</v>
      </c>
      <c r="H9" s="7" t="str">
        <f>"000237"</f>
        <v>000237</v>
      </c>
      <c r="I9" s="6">
        <v>43355</v>
      </c>
      <c r="J9" s="7" t="str">
        <f>"000254"</f>
        <v>000254</v>
      </c>
      <c r="K9" s="6">
        <v>43549</v>
      </c>
      <c r="L9" s="7" t="str">
        <f>"000001"</f>
        <v>000001</v>
      </c>
      <c r="M9" s="6">
        <v>43560</v>
      </c>
      <c r="N9" s="7">
        <v>19</v>
      </c>
      <c r="O9" s="7" t="str">
        <f>"000671"</f>
        <v>000671</v>
      </c>
      <c r="P9" s="6">
        <v>43571</v>
      </c>
      <c r="Q9" s="9">
        <v>3.12622</v>
      </c>
      <c r="R9" s="9">
        <v>0.31263000000000002</v>
      </c>
      <c r="S9" s="9">
        <v>2.81359</v>
      </c>
      <c r="T9" s="7">
        <v>25</v>
      </c>
      <c r="U9" s="6">
        <v>43578</v>
      </c>
      <c r="V9" s="7">
        <v>9538136111</v>
      </c>
      <c r="W9" s="8" t="s">
        <v>72</v>
      </c>
      <c r="X9" s="7" t="s">
        <v>38</v>
      </c>
      <c r="Y9" s="8" t="s">
        <v>39</v>
      </c>
      <c r="Z9" s="7" t="s">
        <v>57</v>
      </c>
      <c r="AA9" s="8" t="s">
        <v>58</v>
      </c>
      <c r="AB9" s="9">
        <f t="shared" si="0"/>
        <v>3.1262199999999997E-2</v>
      </c>
    </row>
    <row r="10" spans="1:28" x14ac:dyDescent="0.35">
      <c r="A10" s="4">
        <v>4109</v>
      </c>
      <c r="B10" s="5" t="s">
        <v>28</v>
      </c>
      <c r="C10" s="6">
        <v>43579</v>
      </c>
      <c r="D10" s="7">
        <v>130</v>
      </c>
      <c r="E10" s="8" t="s">
        <v>53</v>
      </c>
      <c r="F10" s="7" t="s">
        <v>73</v>
      </c>
      <c r="G10" s="8" t="s">
        <v>74</v>
      </c>
      <c r="H10" s="7" t="str">
        <f>"000173"</f>
        <v>000173</v>
      </c>
      <c r="I10" s="6">
        <v>43269</v>
      </c>
      <c r="J10" s="7" t="str">
        <f>"000236"</f>
        <v>000236</v>
      </c>
      <c r="K10" s="6">
        <v>43529</v>
      </c>
      <c r="L10" s="7" t="str">
        <f>"000504"</f>
        <v>000504</v>
      </c>
      <c r="M10" s="6">
        <v>43535</v>
      </c>
      <c r="N10" s="7">
        <v>18</v>
      </c>
      <c r="O10" s="7" t="str">
        <f>"000873"</f>
        <v>000873</v>
      </c>
      <c r="P10" s="6">
        <v>43578</v>
      </c>
      <c r="Q10" s="9">
        <v>4.95</v>
      </c>
      <c r="R10" s="9">
        <v>0.495</v>
      </c>
      <c r="S10" s="9">
        <v>4.4550000000000001</v>
      </c>
      <c r="T10" s="7">
        <v>26</v>
      </c>
      <c r="U10" s="6">
        <v>43579</v>
      </c>
      <c r="V10" s="7">
        <v>8553518550</v>
      </c>
      <c r="W10" s="8" t="s">
        <v>75</v>
      </c>
      <c r="X10" s="7" t="s">
        <v>40</v>
      </c>
      <c r="Y10" s="8" t="s">
        <v>41</v>
      </c>
      <c r="Z10" s="7" t="s">
        <v>57</v>
      </c>
      <c r="AA10" s="8" t="s">
        <v>58</v>
      </c>
      <c r="AB10" s="9">
        <f t="shared" si="0"/>
        <v>4.9500000000000002E-2</v>
      </c>
    </row>
    <row r="11" spans="1:28" x14ac:dyDescent="0.35">
      <c r="A11" s="4">
        <v>4110</v>
      </c>
      <c r="B11" s="5" t="s">
        <v>28</v>
      </c>
      <c r="C11" s="6">
        <v>43580</v>
      </c>
      <c r="D11" s="7">
        <v>130</v>
      </c>
      <c r="E11" s="8" t="s">
        <v>53</v>
      </c>
      <c r="F11" s="7" t="s">
        <v>64</v>
      </c>
      <c r="G11" s="8" t="s">
        <v>65</v>
      </c>
      <c r="H11" s="7" t="str">
        <f>"000020"</f>
        <v>000020</v>
      </c>
      <c r="I11" s="6">
        <v>42766</v>
      </c>
      <c r="J11" s="7" t="str">
        <f>"000030"</f>
        <v>000030</v>
      </c>
      <c r="K11" s="6">
        <v>43595</v>
      </c>
      <c r="L11" s="7" t="str">
        <f>"000030"</f>
        <v>000030</v>
      </c>
      <c r="M11" s="6">
        <v>43595</v>
      </c>
      <c r="N11" s="7">
        <v>16</v>
      </c>
      <c r="O11" s="7" t="str">
        <f>"001833"</f>
        <v>001833</v>
      </c>
      <c r="P11" s="6">
        <v>43606</v>
      </c>
      <c r="Q11" s="9">
        <v>3.00319</v>
      </c>
      <c r="R11" s="9">
        <v>0.41335</v>
      </c>
      <c r="S11" s="9">
        <v>2.5898400000000001</v>
      </c>
      <c r="T11" s="7">
        <v>29</v>
      </c>
      <c r="U11" s="6">
        <v>43580</v>
      </c>
      <c r="V11" s="7">
        <v>9845695444</v>
      </c>
      <c r="W11" s="8" t="s">
        <v>66</v>
      </c>
      <c r="X11" s="7" t="s">
        <v>35</v>
      </c>
      <c r="Y11" s="8" t="s">
        <v>34</v>
      </c>
      <c r="Z11" s="7" t="s">
        <v>50</v>
      </c>
      <c r="AA11" s="8" t="s">
        <v>51</v>
      </c>
      <c r="AB11" s="9">
        <f t="shared" si="0"/>
        <v>3.00319E-2</v>
      </c>
    </row>
    <row r="12" spans="1:28" x14ac:dyDescent="0.35">
      <c r="A12" s="4">
        <v>4111</v>
      </c>
      <c r="B12" s="5" t="s">
        <v>28</v>
      </c>
      <c r="C12" s="6">
        <v>43580</v>
      </c>
      <c r="D12" s="7">
        <v>130</v>
      </c>
      <c r="E12" s="8" t="s">
        <v>53</v>
      </c>
      <c r="F12" s="7" t="s">
        <v>61</v>
      </c>
      <c r="G12" s="8" t="s">
        <v>62</v>
      </c>
      <c r="H12" s="7" t="str">
        <f>"000018"</f>
        <v>000018</v>
      </c>
      <c r="I12" s="6">
        <v>42766</v>
      </c>
      <c r="J12" s="7" t="str">
        <f>"000031"</f>
        <v>000031</v>
      </c>
      <c r="K12" s="6">
        <v>43595</v>
      </c>
      <c r="L12" s="7" t="str">
        <f>"000031"</f>
        <v>000031</v>
      </c>
      <c r="M12" s="6">
        <v>43595</v>
      </c>
      <c r="N12" s="7">
        <v>16</v>
      </c>
      <c r="O12" s="7" t="str">
        <f>"001834"</f>
        <v>001834</v>
      </c>
      <c r="P12" s="6">
        <v>43606</v>
      </c>
      <c r="Q12" s="9">
        <v>3.0443699999999998</v>
      </c>
      <c r="R12" s="9">
        <v>0.41791</v>
      </c>
      <c r="S12" s="9">
        <v>2.6264599999999998</v>
      </c>
      <c r="T12" s="7">
        <v>29</v>
      </c>
      <c r="U12" s="6">
        <v>43580</v>
      </c>
      <c r="V12" s="7">
        <v>9845695444</v>
      </c>
      <c r="W12" s="8" t="s">
        <v>63</v>
      </c>
      <c r="X12" s="7" t="s">
        <v>35</v>
      </c>
      <c r="Y12" s="8" t="s">
        <v>34</v>
      </c>
      <c r="Z12" s="7" t="s">
        <v>50</v>
      </c>
      <c r="AA12" s="8" t="s">
        <v>51</v>
      </c>
      <c r="AB12" s="9">
        <f t="shared" si="0"/>
        <v>3.0443699999999997E-2</v>
      </c>
    </row>
    <row r="13" spans="1:28" x14ac:dyDescent="0.35">
      <c r="A13" s="4">
        <v>4112</v>
      </c>
      <c r="B13" s="5" t="s">
        <v>32</v>
      </c>
      <c r="C13" s="6">
        <v>43591</v>
      </c>
      <c r="D13" s="7">
        <v>130</v>
      </c>
      <c r="E13" s="8" t="s">
        <v>53</v>
      </c>
      <c r="F13" s="7" t="s">
        <v>76</v>
      </c>
      <c r="G13" s="8" t="s">
        <v>77</v>
      </c>
      <c r="H13" s="7" t="str">
        <f>"000010"</f>
        <v>000010</v>
      </c>
      <c r="I13" s="6">
        <v>42832</v>
      </c>
      <c r="J13" s="7" t="str">
        <f>"000012"</f>
        <v>000012</v>
      </c>
      <c r="K13" s="6">
        <v>42965</v>
      </c>
      <c r="L13" s="7" t="str">
        <f>"000031"</f>
        <v>000031</v>
      </c>
      <c r="M13" s="6">
        <v>42969</v>
      </c>
      <c r="N13" s="7">
        <v>17</v>
      </c>
      <c r="O13" s="7" t="str">
        <f>"001277"</f>
        <v>001277</v>
      </c>
      <c r="P13" s="6">
        <v>43587</v>
      </c>
      <c r="Q13" s="9">
        <v>4.9744799999999998</v>
      </c>
      <c r="R13" s="9">
        <v>0.60216000000000003</v>
      </c>
      <c r="S13" s="9">
        <v>4.3723200000000002</v>
      </c>
      <c r="T13" s="7">
        <v>37</v>
      </c>
      <c r="U13" s="6">
        <v>43591</v>
      </c>
      <c r="V13" s="7">
        <v>9845235505</v>
      </c>
      <c r="W13" s="8" t="s">
        <v>78</v>
      </c>
      <c r="X13" s="7" t="s">
        <v>30</v>
      </c>
      <c r="Y13" s="8" t="s">
        <v>31</v>
      </c>
      <c r="Z13" s="7" t="s">
        <v>57</v>
      </c>
      <c r="AA13" s="8" t="s">
        <v>58</v>
      </c>
      <c r="AB13" s="9">
        <f t="shared" si="0"/>
        <v>4.9744799999999999E-2</v>
      </c>
    </row>
    <row r="14" spans="1:28" x14ac:dyDescent="0.35">
      <c r="A14" s="4">
        <v>4113</v>
      </c>
      <c r="B14" s="5" t="s">
        <v>32</v>
      </c>
      <c r="C14" s="6">
        <v>43603</v>
      </c>
      <c r="D14" s="7">
        <v>130</v>
      </c>
      <c r="E14" s="8" t="s">
        <v>53</v>
      </c>
      <c r="F14" s="7" t="s">
        <v>79</v>
      </c>
      <c r="G14" s="8" t="s">
        <v>80</v>
      </c>
      <c r="H14" s="7" t="str">
        <f>"000008"</f>
        <v>000008</v>
      </c>
      <c r="I14" s="6">
        <v>42832</v>
      </c>
      <c r="J14" s="7" t="str">
        <f>"000083"</f>
        <v>000083</v>
      </c>
      <c r="K14" s="6">
        <v>42992</v>
      </c>
      <c r="L14" s="7" t="str">
        <f>"000155"</f>
        <v>000155</v>
      </c>
      <c r="M14" s="6">
        <v>43012</v>
      </c>
      <c r="N14" s="7">
        <v>17</v>
      </c>
      <c r="O14" s="7" t="str">
        <f>"001670"</f>
        <v>001670</v>
      </c>
      <c r="P14" s="6">
        <v>43602</v>
      </c>
      <c r="Q14" s="9">
        <v>19.94265</v>
      </c>
      <c r="R14" s="9">
        <v>2.2105600000000001</v>
      </c>
      <c r="S14" s="9">
        <v>17.732089999999999</v>
      </c>
      <c r="T14" s="7">
        <v>50</v>
      </c>
      <c r="U14" s="6">
        <v>43603</v>
      </c>
      <c r="V14" s="7">
        <v>9845235505</v>
      </c>
      <c r="W14" s="8" t="s">
        <v>49</v>
      </c>
      <c r="X14" s="7" t="s">
        <v>30</v>
      </c>
      <c r="Y14" s="8" t="s">
        <v>31</v>
      </c>
      <c r="Z14" s="7" t="s">
        <v>57</v>
      </c>
      <c r="AA14" s="8" t="s">
        <v>58</v>
      </c>
      <c r="AB14" s="9">
        <f t="shared" si="0"/>
        <v>0.19942650000000001</v>
      </c>
    </row>
    <row r="15" spans="1:28" x14ac:dyDescent="0.35">
      <c r="A15" s="4">
        <v>4114</v>
      </c>
      <c r="B15" s="5" t="s">
        <v>32</v>
      </c>
      <c r="C15" s="6">
        <v>43603</v>
      </c>
      <c r="D15" s="7">
        <v>130</v>
      </c>
      <c r="E15" s="8" t="s">
        <v>53</v>
      </c>
      <c r="F15" s="7" t="s">
        <v>81</v>
      </c>
      <c r="G15" s="8" t="s">
        <v>82</v>
      </c>
      <c r="H15" s="7" t="str">
        <f>""</f>
        <v/>
      </c>
      <c r="I15" s="6">
        <v>7</v>
      </c>
      <c r="J15" s="7" t="str">
        <f>"000100"</f>
        <v>000100</v>
      </c>
      <c r="K15" s="6">
        <v>43006</v>
      </c>
      <c r="L15" s="7" t="str">
        <f>"000174"</f>
        <v>000174</v>
      </c>
      <c r="M15" s="6">
        <v>43019</v>
      </c>
      <c r="N15" s="7">
        <v>17</v>
      </c>
      <c r="O15" s="7" t="str">
        <f>"001685"</f>
        <v>001685</v>
      </c>
      <c r="P15" s="6">
        <v>43602</v>
      </c>
      <c r="Q15" s="9">
        <v>19.939160000000001</v>
      </c>
      <c r="R15" s="9">
        <v>2.6031200000000001</v>
      </c>
      <c r="S15" s="9">
        <v>17.336040000000001</v>
      </c>
      <c r="T15" s="7">
        <v>50</v>
      </c>
      <c r="U15" s="6">
        <v>43603</v>
      </c>
      <c r="V15" s="7">
        <v>9845235505</v>
      </c>
      <c r="W15" s="8" t="s">
        <v>83</v>
      </c>
      <c r="X15" s="7" t="s">
        <v>30</v>
      </c>
      <c r="Y15" s="8" t="s">
        <v>31</v>
      </c>
      <c r="Z15" s="7" t="s">
        <v>57</v>
      </c>
      <c r="AA15" s="8" t="s">
        <v>58</v>
      </c>
      <c r="AB15" s="9">
        <f t="shared" si="0"/>
        <v>0.1993916</v>
      </c>
    </row>
    <row r="16" spans="1:28" x14ac:dyDescent="0.35">
      <c r="A16" s="4">
        <v>4115</v>
      </c>
      <c r="B16" s="5" t="s">
        <v>32</v>
      </c>
      <c r="C16" s="6">
        <v>43606</v>
      </c>
      <c r="D16" s="7">
        <v>130</v>
      </c>
      <c r="E16" s="8" t="s">
        <v>53</v>
      </c>
      <c r="F16" s="7" t="s">
        <v>64</v>
      </c>
      <c r="G16" s="8" t="s">
        <v>65</v>
      </c>
      <c r="H16" s="7" t="str">
        <f>"000020"</f>
        <v>000020</v>
      </c>
      <c r="I16" s="6">
        <v>42766</v>
      </c>
      <c r="J16" s="7" t="str">
        <f>"000030"</f>
        <v>000030</v>
      </c>
      <c r="K16" s="6">
        <v>43595</v>
      </c>
      <c r="L16" s="7" t="str">
        <f>"000030"</f>
        <v>000030</v>
      </c>
      <c r="M16" s="6">
        <v>43595</v>
      </c>
      <c r="N16" s="7">
        <v>16</v>
      </c>
      <c r="O16" s="7" t="str">
        <f>"001833"</f>
        <v>001833</v>
      </c>
      <c r="P16" s="6">
        <v>43606</v>
      </c>
      <c r="Q16" s="9">
        <v>2.2524000000000002</v>
      </c>
      <c r="R16" s="9">
        <v>0.29017999999999999</v>
      </c>
      <c r="S16" s="9">
        <v>1.9622200000000001</v>
      </c>
      <c r="T16" s="7">
        <v>55</v>
      </c>
      <c r="U16" s="6">
        <v>43606</v>
      </c>
      <c r="V16" s="7">
        <v>9845695444</v>
      </c>
      <c r="W16" s="8" t="s">
        <v>66</v>
      </c>
      <c r="X16" s="7" t="s">
        <v>35</v>
      </c>
      <c r="Y16" s="8" t="s">
        <v>34</v>
      </c>
      <c r="Z16" s="7" t="s">
        <v>50</v>
      </c>
      <c r="AA16" s="8" t="s">
        <v>51</v>
      </c>
      <c r="AB16" s="9">
        <f t="shared" si="0"/>
        <v>2.2524000000000002E-2</v>
      </c>
    </row>
    <row r="17" spans="1:28" x14ac:dyDescent="0.35">
      <c r="A17" s="4">
        <v>4116</v>
      </c>
      <c r="B17" s="5" t="s">
        <v>32</v>
      </c>
      <c r="C17" s="6">
        <v>43606</v>
      </c>
      <c r="D17" s="7">
        <v>130</v>
      </c>
      <c r="E17" s="8" t="s">
        <v>53</v>
      </c>
      <c r="F17" s="7" t="s">
        <v>61</v>
      </c>
      <c r="G17" s="8" t="s">
        <v>62</v>
      </c>
      <c r="H17" s="7" t="str">
        <f>"000018"</f>
        <v>000018</v>
      </c>
      <c r="I17" s="6">
        <v>42766</v>
      </c>
      <c r="J17" s="7" t="str">
        <f>"000031"</f>
        <v>000031</v>
      </c>
      <c r="K17" s="6">
        <v>43595</v>
      </c>
      <c r="L17" s="7" t="str">
        <f>"000031"</f>
        <v>000031</v>
      </c>
      <c r="M17" s="6">
        <v>43595</v>
      </c>
      <c r="N17" s="7">
        <v>16</v>
      </c>
      <c r="O17" s="7" t="str">
        <f>"001834"</f>
        <v>001834</v>
      </c>
      <c r="P17" s="6">
        <v>43606</v>
      </c>
      <c r="Q17" s="9">
        <v>2.28328</v>
      </c>
      <c r="R17" s="9">
        <v>0.29354999999999998</v>
      </c>
      <c r="S17" s="9">
        <v>1.98973</v>
      </c>
      <c r="T17" s="7">
        <v>55</v>
      </c>
      <c r="U17" s="6">
        <v>43606</v>
      </c>
      <c r="V17" s="7">
        <v>9845695444</v>
      </c>
      <c r="W17" s="8" t="s">
        <v>63</v>
      </c>
      <c r="X17" s="7" t="s">
        <v>35</v>
      </c>
      <c r="Y17" s="8" t="s">
        <v>34</v>
      </c>
      <c r="Z17" s="7" t="s">
        <v>50</v>
      </c>
      <c r="AA17" s="8" t="s">
        <v>51</v>
      </c>
      <c r="AB17" s="9">
        <f t="shared" si="0"/>
        <v>2.28328E-2</v>
      </c>
    </row>
    <row r="18" spans="1:28" x14ac:dyDescent="0.35">
      <c r="A18" s="4">
        <v>4117</v>
      </c>
      <c r="B18" s="5" t="s">
        <v>32</v>
      </c>
      <c r="C18" s="6">
        <v>43610</v>
      </c>
      <c r="D18" s="7">
        <v>130</v>
      </c>
      <c r="E18" s="8" t="s">
        <v>53</v>
      </c>
      <c r="F18" s="7" t="s">
        <v>84</v>
      </c>
      <c r="G18" s="8" t="s">
        <v>85</v>
      </c>
      <c r="H18" s="7" t="str">
        <f>"000062"</f>
        <v>000062</v>
      </c>
      <c r="I18" s="6">
        <v>42845</v>
      </c>
      <c r="J18" s="7" t="str">
        <f>"333360"</f>
        <v>333360</v>
      </c>
      <c r="K18" s="6">
        <v>43086</v>
      </c>
      <c r="L18" s="7" t="str">
        <f>"000392"</f>
        <v>000392</v>
      </c>
      <c r="M18" s="6">
        <v>43160</v>
      </c>
      <c r="N18" s="7">
        <v>17</v>
      </c>
      <c r="O18" s="7" t="str">
        <f>"002072"</f>
        <v>002072</v>
      </c>
      <c r="P18" s="6">
        <v>43609</v>
      </c>
      <c r="Q18" s="9">
        <v>19.731660000000002</v>
      </c>
      <c r="R18" s="9">
        <v>1.9928999999999999</v>
      </c>
      <c r="S18" s="9">
        <v>17.738759999999999</v>
      </c>
      <c r="T18" s="7">
        <v>59</v>
      </c>
      <c r="U18" s="6">
        <v>43610</v>
      </c>
      <c r="V18" s="7">
        <v>9845235505</v>
      </c>
      <c r="W18" s="8" t="s">
        <v>83</v>
      </c>
      <c r="X18" s="7" t="s">
        <v>30</v>
      </c>
      <c r="Y18" s="8" t="s">
        <v>31</v>
      </c>
      <c r="Z18" s="7" t="s">
        <v>57</v>
      </c>
      <c r="AA18" s="8" t="s">
        <v>58</v>
      </c>
      <c r="AB18" s="9">
        <f t="shared" si="0"/>
        <v>0.19731660000000001</v>
      </c>
    </row>
    <row r="19" spans="1:28" x14ac:dyDescent="0.35">
      <c r="A19" s="4">
        <v>4118</v>
      </c>
      <c r="B19" s="5" t="s">
        <v>29</v>
      </c>
      <c r="C19" s="6">
        <v>43622</v>
      </c>
      <c r="D19" s="7">
        <v>130</v>
      </c>
      <c r="E19" s="8" t="s">
        <v>53</v>
      </c>
      <c r="F19" s="7" t="s">
        <v>86</v>
      </c>
      <c r="G19" s="8" t="s">
        <v>87</v>
      </c>
      <c r="H19" s="7" t="str">
        <f>"000459"</f>
        <v>000459</v>
      </c>
      <c r="I19" s="6">
        <v>43441</v>
      </c>
      <c r="J19" s="7" t="str">
        <f>"000238"</f>
        <v>000238</v>
      </c>
      <c r="K19" s="6">
        <v>43529</v>
      </c>
      <c r="L19" s="7" t="str">
        <f>"000486"</f>
        <v>000486</v>
      </c>
      <c r="M19" s="6">
        <v>43535</v>
      </c>
      <c r="N19" s="7">
        <v>19</v>
      </c>
      <c r="O19" s="7" t="str">
        <f>"002305"</f>
        <v>002305</v>
      </c>
      <c r="P19" s="6">
        <v>43615</v>
      </c>
      <c r="Q19" s="9">
        <v>24.431069999999998</v>
      </c>
      <c r="R19" s="9">
        <v>2.6781700000000002</v>
      </c>
      <c r="S19" s="9">
        <v>21.7529</v>
      </c>
      <c r="T19" s="7">
        <v>70</v>
      </c>
      <c r="U19" s="6">
        <v>43622</v>
      </c>
      <c r="V19" s="7">
        <v>9845235505</v>
      </c>
      <c r="W19" s="8" t="s">
        <v>56</v>
      </c>
      <c r="X19" s="7" t="s">
        <v>46</v>
      </c>
      <c r="Y19" s="8" t="s">
        <v>47</v>
      </c>
      <c r="Z19" s="7" t="s">
        <v>57</v>
      </c>
      <c r="AA19" s="8" t="s">
        <v>58</v>
      </c>
      <c r="AB19" s="9">
        <v>0.24431069999999999</v>
      </c>
    </row>
    <row r="20" spans="1:28" x14ac:dyDescent="0.35">
      <c r="A20" s="4">
        <v>4119</v>
      </c>
      <c r="B20" s="5" t="s">
        <v>29</v>
      </c>
      <c r="C20" s="6">
        <v>43623</v>
      </c>
      <c r="D20" s="7">
        <v>130</v>
      </c>
      <c r="E20" s="8" t="s">
        <v>53</v>
      </c>
      <c r="F20" s="7" t="s">
        <v>67</v>
      </c>
      <c r="G20" s="8" t="s">
        <v>68</v>
      </c>
      <c r="H20" s="7" t="str">
        <f>"000019"</f>
        <v>000019</v>
      </c>
      <c r="I20" s="6">
        <v>42766</v>
      </c>
      <c r="J20" s="7" t="str">
        <f>"000013"</f>
        <v>000013</v>
      </c>
      <c r="K20" s="6">
        <v>43585</v>
      </c>
      <c r="L20" s="7" t="str">
        <f>"000013"</f>
        <v>000013</v>
      </c>
      <c r="M20" s="6">
        <v>43585</v>
      </c>
      <c r="N20" s="7">
        <v>16</v>
      </c>
      <c r="O20" s="7" t="str">
        <f>"002327"</f>
        <v>002327</v>
      </c>
      <c r="P20" s="6">
        <v>43617</v>
      </c>
      <c r="Q20" s="9">
        <v>2.5438999999999998</v>
      </c>
      <c r="R20" s="9">
        <v>0.31291999999999998</v>
      </c>
      <c r="S20" s="9">
        <v>2.2309800000000002</v>
      </c>
      <c r="T20" s="7">
        <v>73</v>
      </c>
      <c r="U20" s="6">
        <v>43623</v>
      </c>
      <c r="V20" s="7">
        <v>9620096296</v>
      </c>
      <c r="W20" s="8" t="s">
        <v>52</v>
      </c>
      <c r="X20" s="7" t="s">
        <v>35</v>
      </c>
      <c r="Y20" s="8" t="s">
        <v>34</v>
      </c>
      <c r="Z20" s="7" t="s">
        <v>50</v>
      </c>
      <c r="AA20" s="8" t="s">
        <v>51</v>
      </c>
      <c r="AB20" s="9">
        <v>2.5439E-2</v>
      </c>
    </row>
    <row r="21" spans="1:28" x14ac:dyDescent="0.35">
      <c r="A21" s="4">
        <v>4120</v>
      </c>
      <c r="B21" s="5" t="s">
        <v>29</v>
      </c>
      <c r="C21" s="6">
        <v>43628</v>
      </c>
      <c r="D21" s="7">
        <v>130</v>
      </c>
      <c r="E21" s="8" t="s">
        <v>53</v>
      </c>
      <c r="F21" s="7" t="s">
        <v>88</v>
      </c>
      <c r="G21" s="8" t="s">
        <v>89</v>
      </c>
      <c r="H21" s="7" t="str">
        <f>"000065"</f>
        <v>000065</v>
      </c>
      <c r="I21" s="6">
        <v>42857</v>
      </c>
      <c r="J21" s="7" t="str">
        <f>"000104"</f>
        <v>000104</v>
      </c>
      <c r="K21" s="6">
        <v>43012</v>
      </c>
      <c r="L21" s="7" t="str">
        <f>"000269"</f>
        <v>000269</v>
      </c>
      <c r="M21" s="6">
        <v>43090</v>
      </c>
      <c r="N21" s="7">
        <v>17</v>
      </c>
      <c r="O21" s="7" t="str">
        <f>"002594"</f>
        <v>002594</v>
      </c>
      <c r="P21" s="6">
        <v>43627</v>
      </c>
      <c r="Q21" s="9">
        <v>24.489619999999999</v>
      </c>
      <c r="R21" s="9">
        <v>2.7220300000000002</v>
      </c>
      <c r="S21" s="9">
        <v>21.767589999999998</v>
      </c>
      <c r="T21" s="7">
        <v>76</v>
      </c>
      <c r="U21" s="6">
        <v>43628</v>
      </c>
      <c r="V21" s="7">
        <v>9845235505</v>
      </c>
      <c r="W21" s="8" t="s">
        <v>49</v>
      </c>
      <c r="X21" s="7" t="s">
        <v>44</v>
      </c>
      <c r="Y21" s="8" t="s">
        <v>45</v>
      </c>
      <c r="Z21" s="7" t="s">
        <v>57</v>
      </c>
      <c r="AA21" s="8" t="s">
        <v>58</v>
      </c>
      <c r="AB21" s="9">
        <v>0.24489619999999998</v>
      </c>
    </row>
    <row r="22" spans="1:28" x14ac:dyDescent="0.35">
      <c r="A22" s="4">
        <v>4121</v>
      </c>
      <c r="B22" s="5" t="s">
        <v>29</v>
      </c>
      <c r="C22" s="6">
        <v>43628</v>
      </c>
      <c r="D22" s="7">
        <v>130</v>
      </c>
      <c r="E22" s="8" t="s">
        <v>53</v>
      </c>
      <c r="F22" s="7" t="s">
        <v>90</v>
      </c>
      <c r="G22" s="8" t="s">
        <v>91</v>
      </c>
      <c r="H22" s="7" t="str">
        <f>"000012"</f>
        <v>000012</v>
      </c>
      <c r="I22" s="6">
        <v>42832</v>
      </c>
      <c r="J22" s="7" t="str">
        <f>"000095"</f>
        <v>000095</v>
      </c>
      <c r="K22" s="6">
        <v>43005</v>
      </c>
      <c r="L22" s="7" t="str">
        <f>"000274"</f>
        <v>000274</v>
      </c>
      <c r="M22" s="6">
        <v>43090</v>
      </c>
      <c r="N22" s="7">
        <v>17</v>
      </c>
      <c r="O22" s="7" t="str">
        <f>"002596"</f>
        <v>002596</v>
      </c>
      <c r="P22" s="6">
        <v>43627</v>
      </c>
      <c r="Q22" s="9">
        <v>4.9744799999999998</v>
      </c>
      <c r="R22" s="9">
        <v>0.60214000000000001</v>
      </c>
      <c r="S22" s="9">
        <v>4.3723400000000003</v>
      </c>
      <c r="T22" s="7">
        <v>76</v>
      </c>
      <c r="U22" s="6">
        <v>43628</v>
      </c>
      <c r="V22" s="7">
        <v>9845235505</v>
      </c>
      <c r="W22" s="8" t="s">
        <v>83</v>
      </c>
      <c r="X22" s="7" t="s">
        <v>30</v>
      </c>
      <c r="Y22" s="8" t="s">
        <v>31</v>
      </c>
      <c r="Z22" s="7" t="s">
        <v>57</v>
      </c>
      <c r="AA22" s="8" t="s">
        <v>58</v>
      </c>
      <c r="AB22" s="9">
        <v>4.9744799999999999E-2</v>
      </c>
    </row>
    <row r="23" spans="1:28" x14ac:dyDescent="0.35">
      <c r="A23" s="4">
        <v>4122</v>
      </c>
      <c r="B23" s="5" t="s">
        <v>29</v>
      </c>
      <c r="C23" s="6">
        <v>43628</v>
      </c>
      <c r="D23" s="7">
        <v>130</v>
      </c>
      <c r="E23" s="8" t="s">
        <v>53</v>
      </c>
      <c r="F23" s="7" t="s">
        <v>92</v>
      </c>
      <c r="G23" s="8" t="s">
        <v>93</v>
      </c>
      <c r="H23" s="7" t="str">
        <f>"000077"</f>
        <v>000077</v>
      </c>
      <c r="I23" s="6">
        <v>42857</v>
      </c>
      <c r="J23" s="7" t="str">
        <f>"000103"</f>
        <v>000103</v>
      </c>
      <c r="K23" s="6">
        <v>43012</v>
      </c>
      <c r="L23" s="7" t="str">
        <f>"000276"</f>
        <v>000276</v>
      </c>
      <c r="M23" s="6">
        <v>43091</v>
      </c>
      <c r="N23" s="7">
        <v>17</v>
      </c>
      <c r="O23" s="7" t="str">
        <f>"002597"</f>
        <v>002597</v>
      </c>
      <c r="P23" s="6">
        <v>43627</v>
      </c>
      <c r="Q23" s="9">
        <v>47.029420000000002</v>
      </c>
      <c r="R23" s="9">
        <v>5.2281500000000003</v>
      </c>
      <c r="S23" s="9">
        <v>41.801270000000002</v>
      </c>
      <c r="T23" s="7">
        <v>76</v>
      </c>
      <c r="U23" s="6">
        <v>43628</v>
      </c>
      <c r="V23" s="7">
        <v>9845235505</v>
      </c>
      <c r="W23" s="8" t="s">
        <v>48</v>
      </c>
      <c r="X23" s="7" t="s">
        <v>44</v>
      </c>
      <c r="Y23" s="8" t="s">
        <v>45</v>
      </c>
      <c r="Z23" s="7" t="s">
        <v>57</v>
      </c>
      <c r="AA23" s="8" t="s">
        <v>58</v>
      </c>
      <c r="AB23" s="9">
        <v>0.4702942</v>
      </c>
    </row>
    <row r="24" spans="1:28" x14ac:dyDescent="0.35">
      <c r="A24" s="4">
        <v>4123</v>
      </c>
      <c r="B24" s="5" t="s">
        <v>29</v>
      </c>
      <c r="C24" s="6">
        <v>43628</v>
      </c>
      <c r="D24" s="7">
        <v>130</v>
      </c>
      <c r="E24" s="8" t="s">
        <v>53</v>
      </c>
      <c r="F24" s="7" t="s">
        <v>94</v>
      </c>
      <c r="G24" s="8" t="s">
        <v>95</v>
      </c>
      <c r="H24" s="7" t="str">
        <f>"000006"</f>
        <v>000006</v>
      </c>
      <c r="I24" s="6">
        <v>42832</v>
      </c>
      <c r="J24" s="7" t="str">
        <f>"333350"</f>
        <v>333350</v>
      </c>
      <c r="K24" s="6">
        <v>43058</v>
      </c>
      <c r="L24" s="7" t="str">
        <f>"000277"</f>
        <v>000277</v>
      </c>
      <c r="M24" s="6">
        <v>43091</v>
      </c>
      <c r="N24" s="7">
        <v>17</v>
      </c>
      <c r="O24" s="7" t="str">
        <f>"002598"</f>
        <v>002598</v>
      </c>
      <c r="P24" s="6">
        <v>43627</v>
      </c>
      <c r="Q24" s="9">
        <v>19.833449999999999</v>
      </c>
      <c r="R24" s="9">
        <v>2.1816499999999999</v>
      </c>
      <c r="S24" s="9">
        <v>17.651800000000001</v>
      </c>
      <c r="T24" s="7">
        <v>76</v>
      </c>
      <c r="U24" s="6">
        <v>43628</v>
      </c>
      <c r="V24" s="7">
        <v>9845235505</v>
      </c>
      <c r="W24" s="8" t="s">
        <v>33</v>
      </c>
      <c r="X24" s="7" t="s">
        <v>30</v>
      </c>
      <c r="Y24" s="8" t="s">
        <v>31</v>
      </c>
      <c r="Z24" s="7" t="s">
        <v>57</v>
      </c>
      <c r="AA24" s="8" t="s">
        <v>58</v>
      </c>
      <c r="AB24" s="9">
        <v>0.1983345</v>
      </c>
    </row>
    <row r="25" spans="1:28" x14ac:dyDescent="0.35">
      <c r="A25" s="4">
        <v>4124</v>
      </c>
      <c r="B25" s="5" t="s">
        <v>29</v>
      </c>
      <c r="C25" s="6">
        <v>43629</v>
      </c>
      <c r="D25" s="7">
        <v>130</v>
      </c>
      <c r="E25" s="8" t="s">
        <v>53</v>
      </c>
      <c r="F25" s="7" t="s">
        <v>96</v>
      </c>
      <c r="G25" s="8" t="s">
        <v>97</v>
      </c>
      <c r="H25" s="7" t="str">
        <f>"000060"</f>
        <v>000060</v>
      </c>
      <c r="I25" s="6">
        <v>42845</v>
      </c>
      <c r="J25" s="7" t="str">
        <f>"000093"</f>
        <v>000093</v>
      </c>
      <c r="K25" s="6">
        <v>43005</v>
      </c>
      <c r="L25" s="7" t="str">
        <f>"000302"</f>
        <v>000302</v>
      </c>
      <c r="M25" s="6">
        <v>43097</v>
      </c>
      <c r="N25" s="7">
        <v>17</v>
      </c>
      <c r="O25" s="7" t="str">
        <f>"002643"</f>
        <v>002643</v>
      </c>
      <c r="P25" s="6">
        <v>43627</v>
      </c>
      <c r="Q25" s="9">
        <v>14.945729999999999</v>
      </c>
      <c r="R25" s="9">
        <v>1.9434899999999999</v>
      </c>
      <c r="S25" s="9">
        <v>13.00224</v>
      </c>
      <c r="T25" s="7">
        <v>79</v>
      </c>
      <c r="U25" s="6">
        <v>43629</v>
      </c>
      <c r="V25" s="7">
        <v>9845235505</v>
      </c>
      <c r="W25" s="8" t="s">
        <v>83</v>
      </c>
      <c r="X25" s="7" t="s">
        <v>30</v>
      </c>
      <c r="Y25" s="8" t="s">
        <v>31</v>
      </c>
      <c r="Z25" s="7" t="s">
        <v>57</v>
      </c>
      <c r="AA25" s="8" t="s">
        <v>58</v>
      </c>
      <c r="AB25" s="9">
        <v>0.14945729999999999</v>
      </c>
    </row>
    <row r="26" spans="1:28" x14ac:dyDescent="0.35">
      <c r="A26" s="4">
        <v>4125</v>
      </c>
      <c r="B26" s="5" t="s">
        <v>29</v>
      </c>
      <c r="C26" s="6">
        <v>43636</v>
      </c>
      <c r="D26" s="7">
        <v>130</v>
      </c>
      <c r="E26" s="8" t="s">
        <v>53</v>
      </c>
      <c r="F26" s="7" t="s">
        <v>98</v>
      </c>
      <c r="G26" s="8" t="s">
        <v>99</v>
      </c>
      <c r="H26" s="7" t="str">
        <f>"000254"</f>
        <v>000254</v>
      </c>
      <c r="I26" s="6">
        <v>42459</v>
      </c>
      <c r="J26" s="7" t="str">
        <f>"000091"</f>
        <v>000091</v>
      </c>
      <c r="K26" s="6">
        <v>43001</v>
      </c>
      <c r="L26" s="7" t="str">
        <f>"000224"</f>
        <v>000224</v>
      </c>
      <c r="M26" s="6">
        <v>43055</v>
      </c>
      <c r="N26" s="7">
        <v>16</v>
      </c>
      <c r="O26" s="7" t="str">
        <f>"002785"</f>
        <v>002785</v>
      </c>
      <c r="P26" s="6">
        <v>43633</v>
      </c>
      <c r="Q26" s="9">
        <v>9.6310800000000008</v>
      </c>
      <c r="R26" s="9">
        <v>0.7823</v>
      </c>
      <c r="S26" s="9">
        <v>8.8487799999999996</v>
      </c>
      <c r="T26" s="7">
        <v>89</v>
      </c>
      <c r="U26" s="6">
        <v>43636</v>
      </c>
      <c r="V26" s="7">
        <v>9845486704</v>
      </c>
      <c r="W26" s="8" t="s">
        <v>100</v>
      </c>
      <c r="X26" s="7" t="s">
        <v>30</v>
      </c>
      <c r="Y26" s="8" t="s">
        <v>31</v>
      </c>
      <c r="Z26" s="7" t="s">
        <v>57</v>
      </c>
      <c r="AA26" s="8" t="s">
        <v>58</v>
      </c>
      <c r="AB26" s="9">
        <v>9.6310800000000002E-2</v>
      </c>
    </row>
    <row r="27" spans="1:28" x14ac:dyDescent="0.35">
      <c r="A27" s="4">
        <v>4126</v>
      </c>
      <c r="B27" s="5" t="s">
        <v>29</v>
      </c>
      <c r="C27" s="6">
        <v>43644</v>
      </c>
      <c r="D27" s="7">
        <v>130</v>
      </c>
      <c r="E27" s="8" t="s">
        <v>53</v>
      </c>
      <c r="F27" s="7" t="s">
        <v>101</v>
      </c>
      <c r="G27" s="8" t="s">
        <v>102</v>
      </c>
      <c r="H27" s="7" t="str">
        <f>"000564"</f>
        <v>000564</v>
      </c>
      <c r="I27" s="6">
        <v>43522</v>
      </c>
      <c r="J27" s="7" t="str">
        <f>"000032"</f>
        <v>000032</v>
      </c>
      <c r="K27" s="6">
        <v>43629</v>
      </c>
      <c r="L27" s="7" t="str">
        <f>"000071"</f>
        <v>000071</v>
      </c>
      <c r="M27" s="6">
        <v>43629</v>
      </c>
      <c r="N27" s="7">
        <v>19</v>
      </c>
      <c r="O27" s="7" t="str">
        <f>"002871"</f>
        <v>002871</v>
      </c>
      <c r="P27" s="6">
        <v>43636</v>
      </c>
      <c r="Q27" s="9">
        <v>89.180049999999994</v>
      </c>
      <c r="R27" s="9">
        <v>9.4180899999999994</v>
      </c>
      <c r="S27" s="9">
        <v>79.761960000000002</v>
      </c>
      <c r="T27" s="7">
        <v>95</v>
      </c>
      <c r="U27" s="6">
        <v>43644</v>
      </c>
      <c r="V27" s="7">
        <v>8904904737</v>
      </c>
      <c r="W27" s="8" t="s">
        <v>56</v>
      </c>
      <c r="X27" s="7" t="s">
        <v>36</v>
      </c>
      <c r="Y27" s="8" t="s">
        <v>37</v>
      </c>
      <c r="Z27" s="7" t="s">
        <v>57</v>
      </c>
      <c r="AA27" s="8" t="s">
        <v>58</v>
      </c>
      <c r="AB27" s="9">
        <v>0.8918005</v>
      </c>
    </row>
    <row r="28" spans="1:28" x14ac:dyDescent="0.35">
      <c r="A28" s="4">
        <v>4127</v>
      </c>
      <c r="B28" s="5" t="s">
        <v>103</v>
      </c>
      <c r="C28" s="6">
        <v>43647</v>
      </c>
      <c r="D28" s="7">
        <v>130</v>
      </c>
      <c r="E28" s="8" t="s">
        <v>53</v>
      </c>
      <c r="F28" s="7" t="s">
        <v>104</v>
      </c>
      <c r="G28" s="10" t="s">
        <v>105</v>
      </c>
      <c r="H28" s="7" t="str">
        <f>"000131"</f>
        <v>000131</v>
      </c>
      <c r="I28" s="6">
        <v>43081</v>
      </c>
      <c r="J28" s="7" t="str">
        <f>"333394"</f>
        <v>333394</v>
      </c>
      <c r="K28" s="6">
        <v>43118</v>
      </c>
      <c r="L28" s="7" t="str">
        <f>"000338"</f>
        <v>000338</v>
      </c>
      <c r="M28" s="6">
        <v>43118</v>
      </c>
      <c r="N28" s="7">
        <v>18</v>
      </c>
      <c r="O28" s="7" t="str">
        <f>"003106"</f>
        <v>003106</v>
      </c>
      <c r="P28" s="6">
        <v>43641</v>
      </c>
      <c r="Q28" s="11">
        <v>87.077799999999996</v>
      </c>
      <c r="R28" s="11">
        <v>7.92828</v>
      </c>
      <c r="S28" s="11">
        <v>79.149519999999995</v>
      </c>
      <c r="T28" s="7">
        <v>96</v>
      </c>
      <c r="U28" s="6">
        <v>43647</v>
      </c>
      <c r="V28" s="7">
        <v>8904904737</v>
      </c>
      <c r="W28" s="10" t="s">
        <v>83</v>
      </c>
      <c r="X28" s="7" t="s">
        <v>106</v>
      </c>
      <c r="Y28" s="10" t="s">
        <v>107</v>
      </c>
      <c r="Z28" s="7" t="s">
        <v>57</v>
      </c>
      <c r="AA28" s="10" t="s">
        <v>58</v>
      </c>
      <c r="AB28" s="11">
        <f t="shared" ref="AB28:AB72" si="1">Q28/100</f>
        <v>0.87077799999999994</v>
      </c>
    </row>
    <row r="29" spans="1:28" x14ac:dyDescent="0.35">
      <c r="A29" s="4">
        <v>4128</v>
      </c>
      <c r="B29" s="5" t="s">
        <v>103</v>
      </c>
      <c r="C29" s="6">
        <v>43647</v>
      </c>
      <c r="D29" s="7">
        <v>130</v>
      </c>
      <c r="E29" s="8" t="s">
        <v>53</v>
      </c>
      <c r="F29" s="7" t="s">
        <v>108</v>
      </c>
      <c r="G29" s="10" t="s">
        <v>109</v>
      </c>
      <c r="H29" s="7" t="str">
        <f>"000129"</f>
        <v>000129</v>
      </c>
      <c r="I29" s="6">
        <v>43081</v>
      </c>
      <c r="J29" s="7" t="str">
        <f>"333393"</f>
        <v>333393</v>
      </c>
      <c r="K29" s="6">
        <v>43118</v>
      </c>
      <c r="L29" s="7" t="str">
        <f>"000340"</f>
        <v>000340</v>
      </c>
      <c r="M29" s="6">
        <v>43118</v>
      </c>
      <c r="N29" s="7">
        <v>18</v>
      </c>
      <c r="O29" s="7" t="str">
        <f>"003107"</f>
        <v>003107</v>
      </c>
      <c r="P29" s="6">
        <v>43641</v>
      </c>
      <c r="Q29" s="11">
        <v>92.738249999999994</v>
      </c>
      <c r="R29" s="11">
        <v>8.4212799999999994</v>
      </c>
      <c r="S29" s="11">
        <v>84.316969999999998</v>
      </c>
      <c r="T29" s="7">
        <v>96</v>
      </c>
      <c r="U29" s="6">
        <v>43647</v>
      </c>
      <c r="V29" s="7">
        <v>8904904737</v>
      </c>
      <c r="W29" s="10" t="s">
        <v>33</v>
      </c>
      <c r="X29" s="7" t="s">
        <v>106</v>
      </c>
      <c r="Y29" s="10" t="s">
        <v>107</v>
      </c>
      <c r="Z29" s="7" t="s">
        <v>57</v>
      </c>
      <c r="AA29" s="10" t="s">
        <v>58</v>
      </c>
      <c r="AB29" s="11">
        <f t="shared" si="1"/>
        <v>0.92738249999999989</v>
      </c>
    </row>
    <row r="30" spans="1:28" x14ac:dyDescent="0.35">
      <c r="A30" s="4">
        <v>4129</v>
      </c>
      <c r="B30" s="5" t="s">
        <v>103</v>
      </c>
      <c r="C30" s="6">
        <v>43647</v>
      </c>
      <c r="D30" s="7">
        <v>130</v>
      </c>
      <c r="E30" s="8" t="s">
        <v>53</v>
      </c>
      <c r="F30" s="7" t="s">
        <v>110</v>
      </c>
      <c r="G30" s="10" t="s">
        <v>111</v>
      </c>
      <c r="H30" s="7" t="str">
        <f>"000072"</f>
        <v>000072</v>
      </c>
      <c r="I30" s="6">
        <v>42857</v>
      </c>
      <c r="J30" s="7" t="str">
        <f>""</f>
        <v/>
      </c>
      <c r="K30" s="6">
        <v>43076</v>
      </c>
      <c r="L30" s="7" t="str">
        <f>""</f>
        <v/>
      </c>
      <c r="M30" s="7"/>
      <c r="N30" s="7">
        <v>17</v>
      </c>
      <c r="O30" s="7" t="str">
        <f>""</f>
        <v/>
      </c>
      <c r="P30" s="7"/>
      <c r="Q30" s="11">
        <v>11.9931</v>
      </c>
      <c r="R30" s="11">
        <v>1.0809299999999999</v>
      </c>
      <c r="S30" s="11">
        <v>10.91217</v>
      </c>
      <c r="T30" s="7">
        <v>96</v>
      </c>
      <c r="U30" s="6">
        <v>43647</v>
      </c>
      <c r="V30" s="7">
        <v>9845235505</v>
      </c>
      <c r="W30" s="10" t="s">
        <v>83</v>
      </c>
      <c r="X30" s="7" t="s">
        <v>44</v>
      </c>
      <c r="Y30" s="10" t="s">
        <v>45</v>
      </c>
      <c r="Z30" s="7" t="s">
        <v>57</v>
      </c>
      <c r="AA30" s="10" t="s">
        <v>58</v>
      </c>
      <c r="AB30" s="11">
        <f t="shared" si="1"/>
        <v>0.119931</v>
      </c>
    </row>
    <row r="31" spans="1:28" x14ac:dyDescent="0.35">
      <c r="A31" s="4">
        <v>4130</v>
      </c>
      <c r="B31" s="5" t="s">
        <v>103</v>
      </c>
      <c r="C31" s="6">
        <v>43647</v>
      </c>
      <c r="D31" s="7">
        <v>130</v>
      </c>
      <c r="E31" s="8" t="s">
        <v>53</v>
      </c>
      <c r="F31" s="7" t="s">
        <v>112</v>
      </c>
      <c r="G31" s="10" t="s">
        <v>113</v>
      </c>
      <c r="H31" s="7" t="str">
        <f>"000132"</f>
        <v>000132</v>
      </c>
      <c r="I31" s="6">
        <v>43081</v>
      </c>
      <c r="J31" s="7" t="str">
        <f>"333396"</f>
        <v>333396</v>
      </c>
      <c r="K31" s="6">
        <v>43118</v>
      </c>
      <c r="L31" s="7" t="str">
        <f>"000347"</f>
        <v>000347</v>
      </c>
      <c r="M31" s="6">
        <v>43120</v>
      </c>
      <c r="N31" s="7">
        <v>18</v>
      </c>
      <c r="O31" s="7" t="str">
        <f>"003115"</f>
        <v>003115</v>
      </c>
      <c r="P31" s="6">
        <v>43643</v>
      </c>
      <c r="Q31" s="11">
        <v>86.296930000000003</v>
      </c>
      <c r="R31" s="11">
        <v>7.84903</v>
      </c>
      <c r="S31" s="11">
        <v>78.447900000000004</v>
      </c>
      <c r="T31" s="7">
        <v>96</v>
      </c>
      <c r="U31" s="6">
        <v>43647</v>
      </c>
      <c r="V31" s="7">
        <v>8904904737</v>
      </c>
      <c r="W31" s="10" t="s">
        <v>83</v>
      </c>
      <c r="X31" s="7" t="s">
        <v>106</v>
      </c>
      <c r="Y31" s="10" t="s">
        <v>107</v>
      </c>
      <c r="Z31" s="7" t="s">
        <v>57</v>
      </c>
      <c r="AA31" s="10" t="s">
        <v>58</v>
      </c>
      <c r="AB31" s="11">
        <f t="shared" si="1"/>
        <v>0.86296930000000005</v>
      </c>
    </row>
    <row r="32" spans="1:28" x14ac:dyDescent="0.35">
      <c r="A32" s="4">
        <v>4131</v>
      </c>
      <c r="B32" s="5" t="s">
        <v>103</v>
      </c>
      <c r="C32" s="6">
        <v>43647</v>
      </c>
      <c r="D32" s="7">
        <v>130</v>
      </c>
      <c r="E32" s="8" t="s">
        <v>53</v>
      </c>
      <c r="F32" s="7" t="s">
        <v>114</v>
      </c>
      <c r="G32" s="10" t="s">
        <v>115</v>
      </c>
      <c r="H32" s="7" t="str">
        <f>"000130"</f>
        <v>000130</v>
      </c>
      <c r="I32" s="6">
        <v>43081</v>
      </c>
      <c r="J32" s="7" t="str">
        <f>"333400"</f>
        <v>333400</v>
      </c>
      <c r="K32" s="6">
        <v>43119</v>
      </c>
      <c r="L32" s="7" t="str">
        <f>"000348"</f>
        <v>000348</v>
      </c>
      <c r="M32" s="6">
        <v>43120</v>
      </c>
      <c r="N32" s="7">
        <v>18</v>
      </c>
      <c r="O32" s="7" t="str">
        <f>"003116"</f>
        <v>003116</v>
      </c>
      <c r="P32" s="6">
        <v>43643</v>
      </c>
      <c r="Q32" s="11">
        <v>48.678100000000001</v>
      </c>
      <c r="R32" s="11">
        <v>4.4249099999999997</v>
      </c>
      <c r="S32" s="11">
        <v>44.253189999999996</v>
      </c>
      <c r="T32" s="7">
        <v>96</v>
      </c>
      <c r="U32" s="6">
        <v>43647</v>
      </c>
      <c r="V32" s="7">
        <v>8904904737</v>
      </c>
      <c r="W32" s="10" t="s">
        <v>83</v>
      </c>
      <c r="X32" s="7" t="s">
        <v>106</v>
      </c>
      <c r="Y32" s="10" t="s">
        <v>107</v>
      </c>
      <c r="Z32" s="7" t="s">
        <v>57</v>
      </c>
      <c r="AA32" s="10" t="s">
        <v>58</v>
      </c>
      <c r="AB32" s="11">
        <f t="shared" si="1"/>
        <v>0.48678100000000002</v>
      </c>
    </row>
    <row r="33" spans="1:28" x14ac:dyDescent="0.35">
      <c r="A33" s="4">
        <v>4132</v>
      </c>
      <c r="B33" s="5" t="s">
        <v>103</v>
      </c>
      <c r="C33" s="6">
        <v>43647</v>
      </c>
      <c r="D33" s="7">
        <v>130</v>
      </c>
      <c r="E33" s="8" t="s">
        <v>53</v>
      </c>
      <c r="F33" s="7" t="s">
        <v>116</v>
      </c>
      <c r="G33" s="10" t="s">
        <v>117</v>
      </c>
      <c r="H33" s="7" t="str">
        <f>"000128"</f>
        <v>000128</v>
      </c>
      <c r="I33" s="6">
        <v>43081</v>
      </c>
      <c r="J33" s="7" t="str">
        <f>"333399"</f>
        <v>333399</v>
      </c>
      <c r="K33" s="6">
        <v>43119</v>
      </c>
      <c r="L33" s="7" t="str">
        <f>"000349"</f>
        <v>000349</v>
      </c>
      <c r="M33" s="6">
        <v>43120</v>
      </c>
      <c r="N33" s="7">
        <v>18</v>
      </c>
      <c r="O33" s="7" t="str">
        <f>"003117"</f>
        <v>003117</v>
      </c>
      <c r="P33" s="6">
        <v>43643</v>
      </c>
      <c r="Q33" s="11">
        <v>49.049169999999997</v>
      </c>
      <c r="R33" s="11">
        <v>4.4619799999999996</v>
      </c>
      <c r="S33" s="11">
        <v>44.58719</v>
      </c>
      <c r="T33" s="7">
        <v>96</v>
      </c>
      <c r="U33" s="6">
        <v>43647</v>
      </c>
      <c r="V33" s="7">
        <v>8904904737</v>
      </c>
      <c r="W33" s="10" t="s">
        <v>83</v>
      </c>
      <c r="X33" s="7" t="s">
        <v>106</v>
      </c>
      <c r="Y33" s="10" t="s">
        <v>107</v>
      </c>
      <c r="Z33" s="7" t="s">
        <v>57</v>
      </c>
      <c r="AA33" s="10" t="s">
        <v>58</v>
      </c>
      <c r="AB33" s="11">
        <f t="shared" si="1"/>
        <v>0.49049169999999997</v>
      </c>
    </row>
    <row r="34" spans="1:28" x14ac:dyDescent="0.35">
      <c r="A34" s="4">
        <v>4133</v>
      </c>
      <c r="B34" s="5" t="s">
        <v>103</v>
      </c>
      <c r="C34" s="6">
        <v>43647</v>
      </c>
      <c r="D34" s="7">
        <v>130</v>
      </c>
      <c r="E34" s="8" t="s">
        <v>53</v>
      </c>
      <c r="F34" s="7" t="s">
        <v>118</v>
      </c>
      <c r="G34" s="10" t="s">
        <v>119</v>
      </c>
      <c r="H34" s="7" t="str">
        <f>"000133"</f>
        <v>000133</v>
      </c>
      <c r="I34" s="6">
        <v>43081</v>
      </c>
      <c r="J34" s="7" t="str">
        <f>"333391"</f>
        <v>333391</v>
      </c>
      <c r="K34" s="6">
        <v>43117</v>
      </c>
      <c r="L34" s="7" t="str">
        <f>"000350"</f>
        <v>000350</v>
      </c>
      <c r="M34" s="6">
        <v>43120</v>
      </c>
      <c r="N34" s="7">
        <v>18</v>
      </c>
      <c r="O34" s="7" t="str">
        <f>"003118"</f>
        <v>003118</v>
      </c>
      <c r="P34" s="6">
        <v>43643</v>
      </c>
      <c r="Q34" s="11">
        <v>88.001980000000003</v>
      </c>
      <c r="R34" s="11">
        <v>7.2156200000000004</v>
      </c>
      <c r="S34" s="11">
        <v>80.786360000000002</v>
      </c>
      <c r="T34" s="7">
        <v>96</v>
      </c>
      <c r="U34" s="6">
        <v>43647</v>
      </c>
      <c r="V34" s="7">
        <v>8904904737</v>
      </c>
      <c r="W34" s="10" t="s">
        <v>83</v>
      </c>
      <c r="X34" s="7" t="s">
        <v>106</v>
      </c>
      <c r="Y34" s="10" t="s">
        <v>107</v>
      </c>
      <c r="Z34" s="7" t="s">
        <v>57</v>
      </c>
      <c r="AA34" s="10" t="s">
        <v>58</v>
      </c>
      <c r="AB34" s="11">
        <f t="shared" si="1"/>
        <v>0.88001980000000002</v>
      </c>
    </row>
    <row r="35" spans="1:28" x14ac:dyDescent="0.35">
      <c r="A35" s="4">
        <v>4134</v>
      </c>
      <c r="B35" s="5" t="s">
        <v>103</v>
      </c>
      <c r="C35" s="6">
        <v>43647</v>
      </c>
      <c r="D35" s="7">
        <v>130</v>
      </c>
      <c r="E35" s="8" t="s">
        <v>53</v>
      </c>
      <c r="F35" s="7" t="s">
        <v>120</v>
      </c>
      <c r="G35" s="10" t="s">
        <v>121</v>
      </c>
      <c r="H35" s="7" t="str">
        <f>"000134"</f>
        <v>000134</v>
      </c>
      <c r="I35" s="6">
        <v>43081</v>
      </c>
      <c r="J35" s="7" t="str">
        <f>"333392"</f>
        <v>333392</v>
      </c>
      <c r="K35" s="6">
        <v>43117</v>
      </c>
      <c r="L35" s="7" t="str">
        <f>"000351"</f>
        <v>000351</v>
      </c>
      <c r="M35" s="6">
        <v>43120</v>
      </c>
      <c r="N35" s="7">
        <v>18</v>
      </c>
      <c r="O35" s="7" t="str">
        <f>"003119"</f>
        <v>003119</v>
      </c>
      <c r="P35" s="6">
        <v>43643</v>
      </c>
      <c r="Q35" s="11">
        <v>48.000779999999999</v>
      </c>
      <c r="R35" s="11">
        <v>4.3660500000000004</v>
      </c>
      <c r="S35" s="11">
        <v>43.634729999999998</v>
      </c>
      <c r="T35" s="7">
        <v>96</v>
      </c>
      <c r="U35" s="6">
        <v>43647</v>
      </c>
      <c r="V35" s="7">
        <v>8904904737</v>
      </c>
      <c r="W35" s="10" t="s">
        <v>33</v>
      </c>
      <c r="X35" s="7" t="s">
        <v>106</v>
      </c>
      <c r="Y35" s="10" t="s">
        <v>107</v>
      </c>
      <c r="Z35" s="7" t="s">
        <v>57</v>
      </c>
      <c r="AA35" s="10" t="s">
        <v>58</v>
      </c>
      <c r="AB35" s="11">
        <f t="shared" si="1"/>
        <v>0.48000779999999998</v>
      </c>
    </row>
    <row r="36" spans="1:28" x14ac:dyDescent="0.35">
      <c r="A36" s="4">
        <v>4135</v>
      </c>
      <c r="B36" s="5" t="s">
        <v>103</v>
      </c>
      <c r="C36" s="6">
        <v>43647</v>
      </c>
      <c r="D36" s="7">
        <v>130</v>
      </c>
      <c r="E36" s="8" t="s">
        <v>53</v>
      </c>
      <c r="F36" s="7" t="s">
        <v>122</v>
      </c>
      <c r="G36" s="10" t="s">
        <v>123</v>
      </c>
      <c r="H36" s="7" t="str">
        <f>"000002"</f>
        <v>000002</v>
      </c>
      <c r="I36" s="6">
        <v>42832</v>
      </c>
      <c r="J36" s="7" t="str">
        <f>"333405"</f>
        <v>333405</v>
      </c>
      <c r="K36" s="6">
        <v>43124</v>
      </c>
      <c r="L36" s="7" t="str">
        <f>"000353"</f>
        <v>000353</v>
      </c>
      <c r="M36" s="6">
        <v>43124</v>
      </c>
      <c r="N36" s="7">
        <v>17</v>
      </c>
      <c r="O36" s="7" t="str">
        <f>"003138"</f>
        <v>003138</v>
      </c>
      <c r="P36" s="6">
        <v>43643</v>
      </c>
      <c r="Q36" s="11">
        <v>19.912659999999999</v>
      </c>
      <c r="R36" s="11">
        <v>2.2096499999999999</v>
      </c>
      <c r="S36" s="11">
        <v>17.703009999999999</v>
      </c>
      <c r="T36" s="7">
        <v>96</v>
      </c>
      <c r="U36" s="6">
        <v>43647</v>
      </c>
      <c r="V36" s="7">
        <v>9845235505</v>
      </c>
      <c r="W36" s="10" t="s">
        <v>33</v>
      </c>
      <c r="X36" s="7" t="s">
        <v>30</v>
      </c>
      <c r="Y36" s="10" t="s">
        <v>31</v>
      </c>
      <c r="Z36" s="7" t="s">
        <v>57</v>
      </c>
      <c r="AA36" s="10" t="s">
        <v>58</v>
      </c>
      <c r="AB36" s="11">
        <f t="shared" si="1"/>
        <v>0.19912659999999999</v>
      </c>
    </row>
    <row r="37" spans="1:28" x14ac:dyDescent="0.35">
      <c r="A37" s="4">
        <v>4136</v>
      </c>
      <c r="B37" s="5" t="s">
        <v>103</v>
      </c>
      <c r="C37" s="6">
        <v>43647</v>
      </c>
      <c r="D37" s="7">
        <v>130</v>
      </c>
      <c r="E37" s="8" t="s">
        <v>53</v>
      </c>
      <c r="F37" s="7" t="s">
        <v>124</v>
      </c>
      <c r="G37" s="10" t="s">
        <v>125</v>
      </c>
      <c r="H37" s="7" t="str">
        <f>"000027"</f>
        <v>000027</v>
      </c>
      <c r="I37" s="6">
        <v>43623</v>
      </c>
      <c r="J37" s="7" t="str">
        <f>"000073"</f>
        <v>000073</v>
      </c>
      <c r="K37" s="6">
        <v>43672</v>
      </c>
      <c r="L37" s="7" t="str">
        <f>"000108"</f>
        <v>000108</v>
      </c>
      <c r="M37" s="6">
        <v>43676</v>
      </c>
      <c r="N37" s="7">
        <v>19</v>
      </c>
      <c r="O37" s="7" t="str">
        <f>"004423"</f>
        <v>004423</v>
      </c>
      <c r="P37" s="6">
        <v>43690</v>
      </c>
      <c r="Q37" s="11">
        <v>61.158110000000001</v>
      </c>
      <c r="R37" s="11">
        <v>6.0683100000000003</v>
      </c>
      <c r="S37" s="11">
        <v>55.089799999999997</v>
      </c>
      <c r="T37" s="7">
        <v>99</v>
      </c>
      <c r="U37" s="6">
        <v>43647</v>
      </c>
      <c r="V37" s="7">
        <v>9845222227</v>
      </c>
      <c r="W37" s="10" t="s">
        <v>126</v>
      </c>
      <c r="X37" s="7" t="s">
        <v>127</v>
      </c>
      <c r="Y37" s="10" t="s">
        <v>128</v>
      </c>
      <c r="Z37" s="7" t="s">
        <v>57</v>
      </c>
      <c r="AA37" s="10" t="s">
        <v>58</v>
      </c>
      <c r="AB37" s="11">
        <f t="shared" si="1"/>
        <v>0.61158109999999999</v>
      </c>
    </row>
    <row r="38" spans="1:28" x14ac:dyDescent="0.35">
      <c r="A38" s="4">
        <v>4137</v>
      </c>
      <c r="B38" s="5" t="s">
        <v>103</v>
      </c>
      <c r="C38" s="6">
        <v>43647</v>
      </c>
      <c r="D38" s="7">
        <v>130</v>
      </c>
      <c r="E38" s="8" t="s">
        <v>53</v>
      </c>
      <c r="F38" s="7" t="s">
        <v>129</v>
      </c>
      <c r="G38" s="10" t="s">
        <v>130</v>
      </c>
      <c r="H38" s="7" t="str">
        <f>"000028"</f>
        <v>000028</v>
      </c>
      <c r="I38" s="6">
        <v>43623</v>
      </c>
      <c r="J38" s="7" t="str">
        <f>"000074"</f>
        <v>000074</v>
      </c>
      <c r="K38" s="6">
        <v>43672</v>
      </c>
      <c r="L38" s="7" t="str">
        <f>"000109"</f>
        <v>000109</v>
      </c>
      <c r="M38" s="6">
        <v>43676</v>
      </c>
      <c r="N38" s="7">
        <v>19</v>
      </c>
      <c r="O38" s="7" t="str">
        <f>"004424"</f>
        <v>004424</v>
      </c>
      <c r="P38" s="6">
        <v>43690</v>
      </c>
      <c r="Q38" s="11">
        <v>42.078580000000002</v>
      </c>
      <c r="R38" s="11">
        <v>4.1279599999999999</v>
      </c>
      <c r="S38" s="11">
        <v>37.950620000000001</v>
      </c>
      <c r="T38" s="7">
        <v>99</v>
      </c>
      <c r="U38" s="6">
        <v>43647</v>
      </c>
      <c r="V38" s="7">
        <v>9845222227</v>
      </c>
      <c r="W38" s="10" t="s">
        <v>126</v>
      </c>
      <c r="X38" s="7" t="s">
        <v>127</v>
      </c>
      <c r="Y38" s="10" t="s">
        <v>128</v>
      </c>
      <c r="Z38" s="7" t="s">
        <v>57</v>
      </c>
      <c r="AA38" s="10" t="s">
        <v>58</v>
      </c>
      <c r="AB38" s="11">
        <f t="shared" si="1"/>
        <v>0.42078580000000004</v>
      </c>
    </row>
    <row r="39" spans="1:28" x14ac:dyDescent="0.35">
      <c r="A39" s="4">
        <v>4138</v>
      </c>
      <c r="B39" s="5" t="s">
        <v>103</v>
      </c>
      <c r="C39" s="6">
        <v>43668</v>
      </c>
      <c r="D39" s="7">
        <v>130</v>
      </c>
      <c r="E39" s="8" t="s">
        <v>53</v>
      </c>
      <c r="F39" s="7" t="s">
        <v>131</v>
      </c>
      <c r="G39" s="10" t="s">
        <v>132</v>
      </c>
      <c r="H39" s="7" t="str">
        <f>"000225"</f>
        <v>000225</v>
      </c>
      <c r="I39" s="6">
        <v>43333</v>
      </c>
      <c r="J39" s="7" t="str">
        <f>"000029"</f>
        <v>000029</v>
      </c>
      <c r="K39" s="6">
        <v>43623</v>
      </c>
      <c r="L39" s="7" t="str">
        <f>"000070"</f>
        <v>000070</v>
      </c>
      <c r="M39" s="6">
        <v>43627</v>
      </c>
      <c r="N39" s="7">
        <v>18</v>
      </c>
      <c r="O39" s="7" t="str">
        <f>"003735"</f>
        <v>003735</v>
      </c>
      <c r="P39" s="6">
        <v>43664</v>
      </c>
      <c r="Q39" s="11">
        <v>48.977119999999999</v>
      </c>
      <c r="R39" s="11">
        <v>6.3249399999999998</v>
      </c>
      <c r="S39" s="11">
        <v>42.652180000000001</v>
      </c>
      <c r="T39" s="7">
        <v>119</v>
      </c>
      <c r="U39" s="6">
        <v>43668</v>
      </c>
      <c r="V39" s="7">
        <v>9845235505</v>
      </c>
      <c r="W39" s="10" t="s">
        <v>56</v>
      </c>
      <c r="X39" s="7" t="s">
        <v>133</v>
      </c>
      <c r="Y39" s="10" t="s">
        <v>134</v>
      </c>
      <c r="Z39" s="7" t="s">
        <v>57</v>
      </c>
      <c r="AA39" s="10" t="s">
        <v>58</v>
      </c>
      <c r="AB39" s="11">
        <f t="shared" si="1"/>
        <v>0.48977120000000002</v>
      </c>
    </row>
    <row r="40" spans="1:28" x14ac:dyDescent="0.35">
      <c r="A40" s="4">
        <v>4139</v>
      </c>
      <c r="B40" s="5" t="s">
        <v>103</v>
      </c>
      <c r="C40" s="6">
        <v>43669</v>
      </c>
      <c r="D40" s="7">
        <v>130</v>
      </c>
      <c r="E40" s="8" t="s">
        <v>53</v>
      </c>
      <c r="F40" s="7" t="s">
        <v>135</v>
      </c>
      <c r="G40" s="10" t="s">
        <v>136</v>
      </c>
      <c r="H40" s="7" t="str">
        <f>"000174"</f>
        <v>000174</v>
      </c>
      <c r="I40" s="6">
        <v>43101</v>
      </c>
      <c r="J40" s="7" t="str">
        <f>"333409"</f>
        <v>333409</v>
      </c>
      <c r="K40" s="6">
        <v>43134</v>
      </c>
      <c r="L40" s="7" t="str">
        <f>"000368"</f>
        <v>000368</v>
      </c>
      <c r="M40" s="6">
        <v>43134</v>
      </c>
      <c r="N40" s="7">
        <v>18</v>
      </c>
      <c r="O40" s="7" t="str">
        <f>"003463"</f>
        <v>003463</v>
      </c>
      <c r="P40" s="6">
        <v>43662</v>
      </c>
      <c r="Q40" s="11">
        <v>96.974530000000001</v>
      </c>
      <c r="R40" s="11">
        <v>10.494450000000001</v>
      </c>
      <c r="S40" s="11">
        <v>86.480080000000001</v>
      </c>
      <c r="T40" s="7">
        <v>122</v>
      </c>
      <c r="U40" s="6">
        <v>43669</v>
      </c>
      <c r="V40" s="7">
        <v>8904904737</v>
      </c>
      <c r="W40" s="10" t="s">
        <v>33</v>
      </c>
      <c r="X40" s="7" t="s">
        <v>106</v>
      </c>
      <c r="Y40" s="10" t="s">
        <v>107</v>
      </c>
      <c r="Z40" s="7" t="s">
        <v>57</v>
      </c>
      <c r="AA40" s="10" t="s">
        <v>58</v>
      </c>
      <c r="AB40" s="11">
        <f t="shared" si="1"/>
        <v>0.96974530000000003</v>
      </c>
    </row>
    <row r="41" spans="1:28" x14ac:dyDescent="0.35">
      <c r="A41" s="4">
        <v>4140</v>
      </c>
      <c r="B41" s="5" t="s">
        <v>103</v>
      </c>
      <c r="C41" s="6">
        <v>43669</v>
      </c>
      <c r="D41" s="7">
        <v>130</v>
      </c>
      <c r="E41" s="8" t="s">
        <v>53</v>
      </c>
      <c r="F41" s="7" t="s">
        <v>137</v>
      </c>
      <c r="G41" s="10" t="s">
        <v>138</v>
      </c>
      <c r="H41" s="7" t="str">
        <f>"000066"</f>
        <v>000066</v>
      </c>
      <c r="I41" s="6">
        <v>42857</v>
      </c>
      <c r="J41" s="7" t="str">
        <f>"333418"</f>
        <v>333418</v>
      </c>
      <c r="K41" s="6">
        <v>43142</v>
      </c>
      <c r="L41" s="7" t="str">
        <f>"000372"</f>
        <v>000372</v>
      </c>
      <c r="M41" s="6">
        <v>43143</v>
      </c>
      <c r="N41" s="7">
        <v>17</v>
      </c>
      <c r="O41" s="7" t="str">
        <f>"003655"</f>
        <v>003655</v>
      </c>
      <c r="P41" s="6">
        <v>43664</v>
      </c>
      <c r="Q41" s="11">
        <v>19.495419999999999</v>
      </c>
      <c r="R41" s="11">
        <v>2.1640100000000002</v>
      </c>
      <c r="S41" s="11">
        <v>17.331410000000002</v>
      </c>
      <c r="T41" s="7">
        <v>122</v>
      </c>
      <c r="U41" s="6">
        <v>43669</v>
      </c>
      <c r="V41" s="7">
        <v>9845235505</v>
      </c>
      <c r="W41" s="10" t="s">
        <v>83</v>
      </c>
      <c r="X41" s="7" t="s">
        <v>44</v>
      </c>
      <c r="Y41" s="10" t="s">
        <v>45</v>
      </c>
      <c r="Z41" s="7" t="s">
        <v>57</v>
      </c>
      <c r="AA41" s="10" t="s">
        <v>58</v>
      </c>
      <c r="AB41" s="11">
        <f t="shared" si="1"/>
        <v>0.19495419999999999</v>
      </c>
    </row>
    <row r="42" spans="1:28" x14ac:dyDescent="0.35">
      <c r="A42" s="4">
        <v>4141</v>
      </c>
      <c r="B42" s="5" t="s">
        <v>103</v>
      </c>
      <c r="C42" s="6">
        <v>43669</v>
      </c>
      <c r="D42" s="7">
        <v>130</v>
      </c>
      <c r="E42" s="8" t="s">
        <v>53</v>
      </c>
      <c r="F42" s="7" t="s">
        <v>139</v>
      </c>
      <c r="G42" s="10" t="s">
        <v>140</v>
      </c>
      <c r="H42" s="7" t="str">
        <f>"000064"</f>
        <v>000064</v>
      </c>
      <c r="I42" s="6">
        <v>42857</v>
      </c>
      <c r="J42" s="7" t="str">
        <f>"333415"</f>
        <v>333415</v>
      </c>
      <c r="K42" s="6">
        <v>43139</v>
      </c>
      <c r="L42" s="7" t="str">
        <f>"000373"</f>
        <v>000373</v>
      </c>
      <c r="M42" s="6">
        <v>43143</v>
      </c>
      <c r="N42" s="7">
        <v>17</v>
      </c>
      <c r="O42" s="7" t="str">
        <f>"003656"</f>
        <v>003656</v>
      </c>
      <c r="P42" s="6">
        <v>43664</v>
      </c>
      <c r="Q42" s="11">
        <v>46.339869999999998</v>
      </c>
      <c r="R42" s="11">
        <v>5.1759599999999999</v>
      </c>
      <c r="S42" s="11">
        <v>41.163910000000001</v>
      </c>
      <c r="T42" s="7">
        <v>122</v>
      </c>
      <c r="U42" s="6">
        <v>43669</v>
      </c>
      <c r="V42" s="7">
        <v>9845235505</v>
      </c>
      <c r="W42" s="10" t="s">
        <v>83</v>
      </c>
      <c r="X42" s="7" t="s">
        <v>44</v>
      </c>
      <c r="Y42" s="10" t="s">
        <v>45</v>
      </c>
      <c r="Z42" s="7" t="s">
        <v>57</v>
      </c>
      <c r="AA42" s="10" t="s">
        <v>58</v>
      </c>
      <c r="AB42" s="11">
        <f t="shared" si="1"/>
        <v>0.4633987</v>
      </c>
    </row>
    <row r="43" spans="1:28" x14ac:dyDescent="0.35">
      <c r="A43" s="4">
        <v>4142</v>
      </c>
      <c r="B43" s="5" t="s">
        <v>103</v>
      </c>
      <c r="C43" s="6">
        <v>43669</v>
      </c>
      <c r="D43" s="7">
        <v>130</v>
      </c>
      <c r="E43" s="8" t="s">
        <v>53</v>
      </c>
      <c r="F43" s="7" t="s">
        <v>141</v>
      </c>
      <c r="G43" s="10" t="s">
        <v>142</v>
      </c>
      <c r="H43" s="7" t="str">
        <f>"000078"</f>
        <v>000078</v>
      </c>
      <c r="I43" s="6">
        <v>42857</v>
      </c>
      <c r="J43" s="7" t="str">
        <f>"333413"</f>
        <v>333413</v>
      </c>
      <c r="K43" s="6">
        <v>43139</v>
      </c>
      <c r="L43" s="7" t="str">
        <f>"000374"</f>
        <v>000374</v>
      </c>
      <c r="M43" s="6">
        <v>43143</v>
      </c>
      <c r="N43" s="7">
        <v>17</v>
      </c>
      <c r="O43" s="7" t="str">
        <f>"003657"</f>
        <v>003657</v>
      </c>
      <c r="P43" s="6">
        <v>43664</v>
      </c>
      <c r="Q43" s="11">
        <v>47.78454</v>
      </c>
      <c r="R43" s="11">
        <v>5.3012100000000002</v>
      </c>
      <c r="S43" s="11">
        <v>42.483330000000002</v>
      </c>
      <c r="T43" s="7">
        <v>122</v>
      </c>
      <c r="U43" s="6">
        <v>43669</v>
      </c>
      <c r="V43" s="7">
        <v>9845235505</v>
      </c>
      <c r="W43" s="10" t="s">
        <v>83</v>
      </c>
      <c r="X43" s="7" t="s">
        <v>44</v>
      </c>
      <c r="Y43" s="10" t="s">
        <v>45</v>
      </c>
      <c r="Z43" s="7" t="s">
        <v>57</v>
      </c>
      <c r="AA43" s="10" t="s">
        <v>58</v>
      </c>
      <c r="AB43" s="11">
        <f t="shared" si="1"/>
        <v>0.47784539999999998</v>
      </c>
    </row>
    <row r="44" spans="1:28" x14ac:dyDescent="0.35">
      <c r="A44" s="4">
        <v>4143</v>
      </c>
      <c r="B44" s="5" t="s">
        <v>103</v>
      </c>
      <c r="C44" s="6">
        <v>43669</v>
      </c>
      <c r="D44" s="7">
        <v>130</v>
      </c>
      <c r="E44" s="8" t="s">
        <v>53</v>
      </c>
      <c r="F44" s="7" t="s">
        <v>143</v>
      </c>
      <c r="G44" s="10" t="s">
        <v>144</v>
      </c>
      <c r="H44" s="7" t="str">
        <f>"000070"</f>
        <v>000070</v>
      </c>
      <c r="I44" s="6">
        <v>42857</v>
      </c>
      <c r="J44" s="7" t="str">
        <f>"333414"</f>
        <v>333414</v>
      </c>
      <c r="K44" s="6">
        <v>43139</v>
      </c>
      <c r="L44" s="7" t="str">
        <f>"000375"</f>
        <v>000375</v>
      </c>
      <c r="M44" s="6">
        <v>43143</v>
      </c>
      <c r="N44" s="7">
        <v>17</v>
      </c>
      <c r="O44" s="7" t="str">
        <f>"003658"</f>
        <v>003658</v>
      </c>
      <c r="P44" s="6">
        <v>43664</v>
      </c>
      <c r="Q44" s="11">
        <v>45.72636</v>
      </c>
      <c r="R44" s="11">
        <v>5.0678299999999998</v>
      </c>
      <c r="S44" s="11">
        <v>40.658529999999999</v>
      </c>
      <c r="T44" s="7">
        <v>122</v>
      </c>
      <c r="U44" s="6">
        <v>43669</v>
      </c>
      <c r="V44" s="7">
        <v>9845235505</v>
      </c>
      <c r="W44" s="10" t="s">
        <v>83</v>
      </c>
      <c r="X44" s="7" t="s">
        <v>44</v>
      </c>
      <c r="Y44" s="10" t="s">
        <v>45</v>
      </c>
      <c r="Z44" s="7" t="s">
        <v>57</v>
      </c>
      <c r="AA44" s="10" t="s">
        <v>58</v>
      </c>
      <c r="AB44" s="11">
        <f t="shared" si="1"/>
        <v>0.45726359999999999</v>
      </c>
    </row>
    <row r="45" spans="1:28" x14ac:dyDescent="0.35">
      <c r="A45" s="4">
        <v>4144</v>
      </c>
      <c r="B45" s="5" t="s">
        <v>103</v>
      </c>
      <c r="C45" s="6">
        <v>43669</v>
      </c>
      <c r="D45" s="7">
        <v>130</v>
      </c>
      <c r="E45" s="8" t="s">
        <v>53</v>
      </c>
      <c r="F45" s="7" t="s">
        <v>145</v>
      </c>
      <c r="G45" s="10" t="s">
        <v>146</v>
      </c>
      <c r="H45" s="7" t="str">
        <f>"000073"</f>
        <v>000073</v>
      </c>
      <c r="I45" s="6">
        <v>42857</v>
      </c>
      <c r="J45" s="7" t="str">
        <f>"333412"</f>
        <v>333412</v>
      </c>
      <c r="K45" s="6">
        <v>43139</v>
      </c>
      <c r="L45" s="7" t="str">
        <f>"000376"</f>
        <v>000376</v>
      </c>
      <c r="M45" s="6">
        <v>43143</v>
      </c>
      <c r="N45" s="7">
        <v>17</v>
      </c>
      <c r="O45" s="7" t="str">
        <f>"003659"</f>
        <v>003659</v>
      </c>
      <c r="P45" s="6">
        <v>43664</v>
      </c>
      <c r="Q45" s="11">
        <v>44.00562</v>
      </c>
      <c r="R45" s="11">
        <v>4.8830400000000003</v>
      </c>
      <c r="S45" s="11">
        <v>39.122579999999999</v>
      </c>
      <c r="T45" s="7">
        <v>122</v>
      </c>
      <c r="U45" s="6">
        <v>43669</v>
      </c>
      <c r="V45" s="7">
        <v>9845235505</v>
      </c>
      <c r="W45" s="10" t="s">
        <v>83</v>
      </c>
      <c r="X45" s="7" t="s">
        <v>44</v>
      </c>
      <c r="Y45" s="10" t="s">
        <v>45</v>
      </c>
      <c r="Z45" s="7" t="s">
        <v>57</v>
      </c>
      <c r="AA45" s="10" t="s">
        <v>58</v>
      </c>
      <c r="AB45" s="11">
        <f t="shared" si="1"/>
        <v>0.44005620000000001</v>
      </c>
    </row>
    <row r="46" spans="1:28" x14ac:dyDescent="0.35">
      <c r="A46" s="4">
        <v>4145</v>
      </c>
      <c r="B46" s="5" t="s">
        <v>103</v>
      </c>
      <c r="C46" s="6">
        <v>43669</v>
      </c>
      <c r="D46" s="7">
        <v>130</v>
      </c>
      <c r="E46" s="8" t="s">
        <v>53</v>
      </c>
      <c r="F46" s="7" t="s">
        <v>147</v>
      </c>
      <c r="G46" s="10" t="s">
        <v>148</v>
      </c>
      <c r="H46" s="7" t="str">
        <f>"000068"</f>
        <v>000068</v>
      </c>
      <c r="I46" s="6">
        <v>42857</v>
      </c>
      <c r="J46" s="7" t="str">
        <f>"333416"</f>
        <v>333416</v>
      </c>
      <c r="K46" s="6">
        <v>43141</v>
      </c>
      <c r="L46" s="7" t="str">
        <f>"000377"</f>
        <v>000377</v>
      </c>
      <c r="M46" s="6">
        <v>43143</v>
      </c>
      <c r="N46" s="7">
        <v>17</v>
      </c>
      <c r="O46" s="7" t="str">
        <f>"003661"</f>
        <v>003661</v>
      </c>
      <c r="P46" s="6">
        <v>43664</v>
      </c>
      <c r="Q46" s="11">
        <v>29.2392</v>
      </c>
      <c r="R46" s="11">
        <v>3.2386400000000002</v>
      </c>
      <c r="S46" s="11">
        <v>26.00056</v>
      </c>
      <c r="T46" s="7">
        <v>122</v>
      </c>
      <c r="U46" s="6">
        <v>43669</v>
      </c>
      <c r="V46" s="7">
        <v>9845235505</v>
      </c>
      <c r="W46" s="10" t="s">
        <v>33</v>
      </c>
      <c r="X46" s="7" t="s">
        <v>44</v>
      </c>
      <c r="Y46" s="10" t="s">
        <v>45</v>
      </c>
      <c r="Z46" s="7" t="s">
        <v>57</v>
      </c>
      <c r="AA46" s="10" t="s">
        <v>58</v>
      </c>
      <c r="AB46" s="11">
        <f t="shared" si="1"/>
        <v>0.29239199999999999</v>
      </c>
    </row>
    <row r="47" spans="1:28" x14ac:dyDescent="0.35">
      <c r="A47" s="4">
        <v>4146</v>
      </c>
      <c r="B47" s="5" t="s">
        <v>103</v>
      </c>
      <c r="C47" s="6">
        <v>43669</v>
      </c>
      <c r="D47" s="7">
        <v>130</v>
      </c>
      <c r="E47" s="8" t="s">
        <v>53</v>
      </c>
      <c r="F47" s="7" t="s">
        <v>149</v>
      </c>
      <c r="G47" s="10" t="s">
        <v>150</v>
      </c>
      <c r="H47" s="7" t="str">
        <f>"000166"</f>
        <v>000166</v>
      </c>
      <c r="I47" s="6">
        <v>43099</v>
      </c>
      <c r="J47" s="7" t="str">
        <f>"333420"</f>
        <v>333420</v>
      </c>
      <c r="K47" s="6">
        <v>43147</v>
      </c>
      <c r="L47" s="7" t="str">
        <f>"000378"</f>
        <v>000378</v>
      </c>
      <c r="M47" s="6">
        <v>43152</v>
      </c>
      <c r="N47" s="7">
        <v>18</v>
      </c>
      <c r="O47" s="7" t="str">
        <f>"003711"</f>
        <v>003711</v>
      </c>
      <c r="P47" s="6">
        <v>43664</v>
      </c>
      <c r="Q47" s="11">
        <v>47.658320000000003</v>
      </c>
      <c r="R47" s="11">
        <v>4.1603300000000001</v>
      </c>
      <c r="S47" s="11">
        <v>43.497990000000001</v>
      </c>
      <c r="T47" s="7">
        <v>122</v>
      </c>
      <c r="U47" s="6">
        <v>43669</v>
      </c>
      <c r="V47" s="7">
        <v>8904904737</v>
      </c>
      <c r="W47" s="10" t="s">
        <v>33</v>
      </c>
      <c r="X47" s="7" t="s">
        <v>106</v>
      </c>
      <c r="Y47" s="10" t="s">
        <v>107</v>
      </c>
      <c r="Z47" s="7" t="s">
        <v>57</v>
      </c>
      <c r="AA47" s="10" t="s">
        <v>58</v>
      </c>
      <c r="AB47" s="11">
        <f t="shared" si="1"/>
        <v>0.47658320000000004</v>
      </c>
    </row>
    <row r="48" spans="1:28" x14ac:dyDescent="0.35">
      <c r="A48" s="4">
        <v>4147</v>
      </c>
      <c r="B48" s="5" t="s">
        <v>103</v>
      </c>
      <c r="C48" s="6">
        <v>43669</v>
      </c>
      <c r="D48" s="7">
        <v>130</v>
      </c>
      <c r="E48" s="8" t="s">
        <v>53</v>
      </c>
      <c r="F48" s="7" t="s">
        <v>151</v>
      </c>
      <c r="G48" s="10" t="s">
        <v>152</v>
      </c>
      <c r="H48" s="7" t="str">
        <f>"000158"</f>
        <v>000158</v>
      </c>
      <c r="I48" s="6">
        <v>43099</v>
      </c>
      <c r="J48" s="7" t="str">
        <f>"333421"</f>
        <v>333421</v>
      </c>
      <c r="K48" s="6">
        <v>43147</v>
      </c>
      <c r="L48" s="7" t="str">
        <f>"000379"</f>
        <v>000379</v>
      </c>
      <c r="M48" s="6">
        <v>43152</v>
      </c>
      <c r="N48" s="7">
        <v>18</v>
      </c>
      <c r="O48" s="7" t="str">
        <f>"003712"</f>
        <v>003712</v>
      </c>
      <c r="P48" s="6">
        <v>43664</v>
      </c>
      <c r="Q48" s="11">
        <v>29.263120000000001</v>
      </c>
      <c r="R48" s="11">
        <v>2.7753000000000001</v>
      </c>
      <c r="S48" s="11">
        <v>26.487819999999999</v>
      </c>
      <c r="T48" s="7">
        <v>122</v>
      </c>
      <c r="U48" s="6">
        <v>43669</v>
      </c>
      <c r="V48" s="7">
        <v>8904904737</v>
      </c>
      <c r="W48" s="10" t="s">
        <v>153</v>
      </c>
      <c r="X48" s="7" t="s">
        <v>106</v>
      </c>
      <c r="Y48" s="10" t="s">
        <v>107</v>
      </c>
      <c r="Z48" s="7" t="s">
        <v>57</v>
      </c>
      <c r="AA48" s="10" t="s">
        <v>58</v>
      </c>
      <c r="AB48" s="11">
        <f t="shared" si="1"/>
        <v>0.29263119999999998</v>
      </c>
    </row>
    <row r="49" spans="1:28" x14ac:dyDescent="0.35">
      <c r="A49" s="4">
        <v>4148</v>
      </c>
      <c r="B49" s="5" t="s">
        <v>103</v>
      </c>
      <c r="C49" s="6">
        <v>43669</v>
      </c>
      <c r="D49" s="7">
        <v>130</v>
      </c>
      <c r="E49" s="8" t="s">
        <v>53</v>
      </c>
      <c r="F49" s="7" t="s">
        <v>154</v>
      </c>
      <c r="G49" s="10" t="s">
        <v>155</v>
      </c>
      <c r="H49" s="7" t="str">
        <f>"000168"</f>
        <v>000168</v>
      </c>
      <c r="I49" s="6">
        <v>43101</v>
      </c>
      <c r="J49" s="7" t="str">
        <f>"333423"</f>
        <v>333423</v>
      </c>
      <c r="K49" s="6">
        <v>43150</v>
      </c>
      <c r="L49" s="7" t="str">
        <f>"000381"</f>
        <v>000381</v>
      </c>
      <c r="M49" s="6">
        <v>43152</v>
      </c>
      <c r="N49" s="7">
        <v>18</v>
      </c>
      <c r="O49" s="7" t="str">
        <f>"003713"</f>
        <v>003713</v>
      </c>
      <c r="P49" s="6">
        <v>43664</v>
      </c>
      <c r="Q49" s="11">
        <v>47.663559999999997</v>
      </c>
      <c r="R49" s="11">
        <v>4.21075</v>
      </c>
      <c r="S49" s="11">
        <v>43.452809999999999</v>
      </c>
      <c r="T49" s="7">
        <v>122</v>
      </c>
      <c r="U49" s="6">
        <v>43669</v>
      </c>
      <c r="V49" s="7">
        <v>8904904737</v>
      </c>
      <c r="W49" s="10" t="s">
        <v>83</v>
      </c>
      <c r="X49" s="7" t="s">
        <v>106</v>
      </c>
      <c r="Y49" s="10" t="s">
        <v>107</v>
      </c>
      <c r="Z49" s="7" t="s">
        <v>57</v>
      </c>
      <c r="AA49" s="10" t="s">
        <v>58</v>
      </c>
      <c r="AB49" s="11">
        <f t="shared" si="1"/>
        <v>0.47663559999999999</v>
      </c>
    </row>
    <row r="50" spans="1:28" x14ac:dyDescent="0.35">
      <c r="A50" s="4">
        <v>4149</v>
      </c>
      <c r="B50" s="5" t="s">
        <v>103</v>
      </c>
      <c r="C50" s="6">
        <v>43669</v>
      </c>
      <c r="D50" s="7">
        <v>130</v>
      </c>
      <c r="E50" s="8" t="s">
        <v>53</v>
      </c>
      <c r="F50" s="7" t="s">
        <v>156</v>
      </c>
      <c r="G50" s="10" t="s">
        <v>157</v>
      </c>
      <c r="H50" s="7" t="str">
        <f>"000152"</f>
        <v>000152</v>
      </c>
      <c r="I50" s="6">
        <v>43097</v>
      </c>
      <c r="J50" s="7" t="str">
        <f>"333424"</f>
        <v>333424</v>
      </c>
      <c r="K50" s="6">
        <v>43150</v>
      </c>
      <c r="L50" s="7" t="str">
        <f>"000383"</f>
        <v>000383</v>
      </c>
      <c r="M50" s="6">
        <v>43152</v>
      </c>
      <c r="N50" s="7">
        <v>18</v>
      </c>
      <c r="O50" s="7" t="str">
        <f>"003714"</f>
        <v>003714</v>
      </c>
      <c r="P50" s="6">
        <v>43664</v>
      </c>
      <c r="Q50" s="11">
        <v>48.092950000000002</v>
      </c>
      <c r="R50" s="11">
        <v>4.2955300000000003</v>
      </c>
      <c r="S50" s="11">
        <v>43.797420000000002</v>
      </c>
      <c r="T50" s="7">
        <v>122</v>
      </c>
      <c r="U50" s="6">
        <v>43669</v>
      </c>
      <c r="V50" s="7">
        <v>9845235505</v>
      </c>
      <c r="W50" s="10" t="s">
        <v>158</v>
      </c>
      <c r="X50" s="7" t="s">
        <v>106</v>
      </c>
      <c r="Y50" s="10" t="s">
        <v>107</v>
      </c>
      <c r="Z50" s="7" t="s">
        <v>57</v>
      </c>
      <c r="AA50" s="10" t="s">
        <v>58</v>
      </c>
      <c r="AB50" s="11">
        <f t="shared" si="1"/>
        <v>0.48092950000000001</v>
      </c>
    </row>
    <row r="51" spans="1:28" x14ac:dyDescent="0.35">
      <c r="A51" s="4">
        <v>4150</v>
      </c>
      <c r="B51" s="5" t="s">
        <v>103</v>
      </c>
      <c r="C51" s="6">
        <v>43669</v>
      </c>
      <c r="D51" s="7">
        <v>130</v>
      </c>
      <c r="E51" s="8" t="s">
        <v>53</v>
      </c>
      <c r="F51" s="7" t="s">
        <v>159</v>
      </c>
      <c r="G51" s="10" t="s">
        <v>160</v>
      </c>
      <c r="H51" s="7" t="str">
        <f>"000167"</f>
        <v>000167</v>
      </c>
      <c r="I51" s="6">
        <v>43099</v>
      </c>
      <c r="J51" s="7" t="str">
        <f>"333426"</f>
        <v>333426</v>
      </c>
      <c r="K51" s="6">
        <v>43150</v>
      </c>
      <c r="L51" s="7" t="str">
        <f>"000384"</f>
        <v>000384</v>
      </c>
      <c r="M51" s="6">
        <v>43152</v>
      </c>
      <c r="N51" s="7">
        <v>18</v>
      </c>
      <c r="O51" s="7" t="str">
        <f>"003715"</f>
        <v>003715</v>
      </c>
      <c r="P51" s="6">
        <v>43664</v>
      </c>
      <c r="Q51" s="11">
        <v>26.347470000000001</v>
      </c>
      <c r="R51" s="11">
        <v>2.3141600000000002</v>
      </c>
      <c r="S51" s="11">
        <v>24.03331</v>
      </c>
      <c r="T51" s="7">
        <v>122</v>
      </c>
      <c r="U51" s="6">
        <v>43669</v>
      </c>
      <c r="V51" s="7">
        <v>8904904737</v>
      </c>
      <c r="W51" s="10" t="s">
        <v>33</v>
      </c>
      <c r="X51" s="7" t="s">
        <v>106</v>
      </c>
      <c r="Y51" s="10" t="s">
        <v>107</v>
      </c>
      <c r="Z51" s="7" t="s">
        <v>57</v>
      </c>
      <c r="AA51" s="10" t="s">
        <v>58</v>
      </c>
      <c r="AB51" s="11">
        <f t="shared" si="1"/>
        <v>0.26347470000000001</v>
      </c>
    </row>
    <row r="52" spans="1:28" x14ac:dyDescent="0.35">
      <c r="A52" s="4">
        <v>4151</v>
      </c>
      <c r="B52" s="5" t="s">
        <v>103</v>
      </c>
      <c r="C52" s="6">
        <v>43670</v>
      </c>
      <c r="D52" s="7">
        <v>130</v>
      </c>
      <c r="E52" s="8" t="s">
        <v>53</v>
      </c>
      <c r="F52" s="7" t="s">
        <v>67</v>
      </c>
      <c r="G52" s="10" t="s">
        <v>68</v>
      </c>
      <c r="H52" s="7" t="str">
        <f>"000019"</f>
        <v>000019</v>
      </c>
      <c r="I52" s="6">
        <v>42766</v>
      </c>
      <c r="J52" s="7" t="str">
        <f>"000108"</f>
        <v>000108</v>
      </c>
      <c r="K52" s="6">
        <v>43763</v>
      </c>
      <c r="L52" s="7" t="str">
        <f>"000108"</f>
        <v>000108</v>
      </c>
      <c r="M52" s="6">
        <v>43763</v>
      </c>
      <c r="N52" s="7">
        <v>16</v>
      </c>
      <c r="O52" s="7" t="str">
        <f>"006133"</f>
        <v>006133</v>
      </c>
      <c r="P52" s="6">
        <v>43776</v>
      </c>
      <c r="Q52" s="11">
        <v>2.5438999999999998</v>
      </c>
      <c r="R52" s="11">
        <v>0.31291999999999998</v>
      </c>
      <c r="S52" s="11">
        <v>2.2309800000000002</v>
      </c>
      <c r="T52" s="7">
        <v>123</v>
      </c>
      <c r="U52" s="6">
        <v>43670</v>
      </c>
      <c r="V52" s="7">
        <v>9620096296</v>
      </c>
      <c r="W52" s="10" t="s">
        <v>52</v>
      </c>
      <c r="X52" s="7" t="s">
        <v>35</v>
      </c>
      <c r="Y52" s="10" t="s">
        <v>34</v>
      </c>
      <c r="Z52" s="7" t="s">
        <v>50</v>
      </c>
      <c r="AA52" s="10" t="s">
        <v>51</v>
      </c>
      <c r="AB52" s="11">
        <f t="shared" si="1"/>
        <v>2.5439E-2</v>
      </c>
    </row>
    <row r="53" spans="1:28" x14ac:dyDescent="0.35">
      <c r="A53" s="4">
        <v>4152</v>
      </c>
      <c r="B53" s="5" t="s">
        <v>103</v>
      </c>
      <c r="C53" s="6">
        <v>43670</v>
      </c>
      <c r="D53" s="7">
        <v>130</v>
      </c>
      <c r="E53" s="8" t="s">
        <v>53</v>
      </c>
      <c r="F53" s="7" t="s">
        <v>64</v>
      </c>
      <c r="G53" s="10" t="s">
        <v>65</v>
      </c>
      <c r="H53" s="7" t="str">
        <f>"000020"</f>
        <v>000020</v>
      </c>
      <c r="I53" s="6">
        <v>42766</v>
      </c>
      <c r="J53" s="7" t="str">
        <f>"000117"</f>
        <v>000117</v>
      </c>
      <c r="K53" s="6">
        <v>43768</v>
      </c>
      <c r="L53" s="7" t="str">
        <f>"000117"</f>
        <v>000117</v>
      </c>
      <c r="M53" s="6">
        <v>43768</v>
      </c>
      <c r="N53" s="7">
        <v>16</v>
      </c>
      <c r="O53" s="7" t="str">
        <f>"006140"</f>
        <v>006140</v>
      </c>
      <c r="P53" s="6">
        <v>43776</v>
      </c>
      <c r="Q53" s="11">
        <v>2.2524000000000002</v>
      </c>
      <c r="R53" s="11">
        <v>0.29017999999999999</v>
      </c>
      <c r="S53" s="11">
        <v>1.9622200000000001</v>
      </c>
      <c r="T53" s="7">
        <v>123</v>
      </c>
      <c r="U53" s="6">
        <v>43670</v>
      </c>
      <c r="V53" s="7">
        <v>9845695444</v>
      </c>
      <c r="W53" s="10" t="s">
        <v>66</v>
      </c>
      <c r="X53" s="7" t="s">
        <v>35</v>
      </c>
      <c r="Y53" s="10" t="s">
        <v>34</v>
      </c>
      <c r="Z53" s="7" t="s">
        <v>50</v>
      </c>
      <c r="AA53" s="10" t="s">
        <v>51</v>
      </c>
      <c r="AB53" s="11">
        <f t="shared" si="1"/>
        <v>2.2524000000000002E-2</v>
      </c>
    </row>
    <row r="54" spans="1:28" x14ac:dyDescent="0.35">
      <c r="A54" s="4">
        <v>4153</v>
      </c>
      <c r="B54" s="5" t="s">
        <v>103</v>
      </c>
      <c r="C54" s="6">
        <v>43670</v>
      </c>
      <c r="D54" s="7">
        <v>130</v>
      </c>
      <c r="E54" s="8" t="s">
        <v>53</v>
      </c>
      <c r="F54" s="7" t="s">
        <v>61</v>
      </c>
      <c r="G54" s="10" t="s">
        <v>62</v>
      </c>
      <c r="H54" s="7" t="str">
        <f>"000018"</f>
        <v>000018</v>
      </c>
      <c r="I54" s="6">
        <v>42766</v>
      </c>
      <c r="J54" s="7" t="str">
        <f>"000118"</f>
        <v>000118</v>
      </c>
      <c r="K54" s="6">
        <v>43768</v>
      </c>
      <c r="L54" s="7" t="str">
        <f>"000118"</f>
        <v>000118</v>
      </c>
      <c r="M54" s="6">
        <v>43768</v>
      </c>
      <c r="N54" s="7">
        <v>16</v>
      </c>
      <c r="O54" s="7" t="str">
        <f>"006141"</f>
        <v>006141</v>
      </c>
      <c r="P54" s="6">
        <v>43776</v>
      </c>
      <c r="Q54" s="11">
        <v>2.28328</v>
      </c>
      <c r="R54" s="11">
        <v>0.29354999999999998</v>
      </c>
      <c r="S54" s="11">
        <v>1.98973</v>
      </c>
      <c r="T54" s="7">
        <v>123</v>
      </c>
      <c r="U54" s="6">
        <v>43670</v>
      </c>
      <c r="V54" s="7">
        <v>9845695444</v>
      </c>
      <c r="W54" s="10" t="s">
        <v>63</v>
      </c>
      <c r="X54" s="7" t="s">
        <v>35</v>
      </c>
      <c r="Y54" s="10" t="s">
        <v>34</v>
      </c>
      <c r="Z54" s="7" t="s">
        <v>50</v>
      </c>
      <c r="AA54" s="10" t="s">
        <v>51</v>
      </c>
      <c r="AB54" s="11">
        <f t="shared" si="1"/>
        <v>2.28328E-2</v>
      </c>
    </row>
    <row r="55" spans="1:28" x14ac:dyDescent="0.35">
      <c r="A55" s="4">
        <v>4154</v>
      </c>
      <c r="B55" s="5" t="s">
        <v>103</v>
      </c>
      <c r="C55" s="6">
        <v>43671</v>
      </c>
      <c r="D55" s="7">
        <v>130</v>
      </c>
      <c r="E55" s="8" t="s">
        <v>53</v>
      </c>
      <c r="F55" s="7" t="s">
        <v>161</v>
      </c>
      <c r="G55" s="10" t="s">
        <v>162</v>
      </c>
      <c r="H55" s="7" t="str">
        <f>"000169"</f>
        <v>000169</v>
      </c>
      <c r="I55" s="6">
        <v>43101</v>
      </c>
      <c r="J55" s="7" t="str">
        <f>"333422"</f>
        <v>333422</v>
      </c>
      <c r="K55" s="6">
        <v>43148</v>
      </c>
      <c r="L55" s="7" t="str">
        <f>"000380"</f>
        <v>000380</v>
      </c>
      <c r="M55" s="6">
        <v>43152</v>
      </c>
      <c r="N55" s="7">
        <v>18</v>
      </c>
      <c r="O55" s="7" t="str">
        <f>"003866"</f>
        <v>003866</v>
      </c>
      <c r="P55" s="6">
        <v>43666</v>
      </c>
      <c r="Q55" s="11">
        <v>47.792630000000003</v>
      </c>
      <c r="R55" s="11">
        <v>4.1212</v>
      </c>
      <c r="S55" s="11">
        <v>43.671430000000001</v>
      </c>
      <c r="T55" s="7">
        <v>125</v>
      </c>
      <c r="U55" s="6">
        <v>43671</v>
      </c>
      <c r="V55" s="7">
        <v>8904904737</v>
      </c>
      <c r="W55" s="10" t="s">
        <v>33</v>
      </c>
      <c r="X55" s="7" t="s">
        <v>106</v>
      </c>
      <c r="Y55" s="10" t="s">
        <v>107</v>
      </c>
      <c r="Z55" s="7" t="s">
        <v>57</v>
      </c>
      <c r="AA55" s="10" t="s">
        <v>58</v>
      </c>
      <c r="AB55" s="11">
        <f t="shared" si="1"/>
        <v>0.47792630000000003</v>
      </c>
    </row>
    <row r="56" spans="1:28" x14ac:dyDescent="0.35">
      <c r="A56" s="4">
        <v>4155</v>
      </c>
      <c r="B56" s="5" t="s">
        <v>103</v>
      </c>
      <c r="C56" s="6">
        <v>43676</v>
      </c>
      <c r="D56" s="7">
        <v>130</v>
      </c>
      <c r="E56" s="8" t="s">
        <v>53</v>
      </c>
      <c r="F56" s="7" t="s">
        <v>163</v>
      </c>
      <c r="G56" s="10" t="s">
        <v>164</v>
      </c>
      <c r="H56" s="7" t="str">
        <f>"000547"</f>
        <v>000547</v>
      </c>
      <c r="I56" s="6">
        <v>43507</v>
      </c>
      <c r="J56" s="7" t="str">
        <f>"000060"</f>
        <v>000060</v>
      </c>
      <c r="K56" s="6">
        <v>43649</v>
      </c>
      <c r="L56" s="7" t="str">
        <f>"000095"</f>
        <v>000095</v>
      </c>
      <c r="M56" s="6">
        <v>43649</v>
      </c>
      <c r="N56" s="7">
        <v>18</v>
      </c>
      <c r="O56" s="7" t="str">
        <f>"004021"</f>
        <v>004021</v>
      </c>
      <c r="P56" s="6">
        <v>43671</v>
      </c>
      <c r="Q56" s="11">
        <v>97.972949999999997</v>
      </c>
      <c r="R56" s="11">
        <v>10.68328</v>
      </c>
      <c r="S56" s="11">
        <v>87.289670000000001</v>
      </c>
      <c r="T56" s="7">
        <v>134</v>
      </c>
      <c r="U56" s="6">
        <v>43676</v>
      </c>
      <c r="V56" s="7">
        <v>8904904737</v>
      </c>
      <c r="W56" s="10" t="s">
        <v>56</v>
      </c>
      <c r="X56" s="7" t="s">
        <v>40</v>
      </c>
      <c r="Y56" s="10" t="s">
        <v>41</v>
      </c>
      <c r="Z56" s="7" t="s">
        <v>57</v>
      </c>
      <c r="AA56" s="10" t="s">
        <v>58</v>
      </c>
      <c r="AB56" s="11">
        <f t="shared" si="1"/>
        <v>0.97972949999999992</v>
      </c>
    </row>
    <row r="57" spans="1:28" x14ac:dyDescent="0.35">
      <c r="A57" s="4">
        <v>4156</v>
      </c>
      <c r="B57" s="5" t="s">
        <v>103</v>
      </c>
      <c r="C57" s="6">
        <v>43676</v>
      </c>
      <c r="D57" s="7">
        <v>130</v>
      </c>
      <c r="E57" s="8" t="s">
        <v>53</v>
      </c>
      <c r="F57" s="7" t="s">
        <v>73</v>
      </c>
      <c r="G57" s="10" t="s">
        <v>74</v>
      </c>
      <c r="H57" s="7" t="str">
        <f>"000173"</f>
        <v>000173</v>
      </c>
      <c r="I57" s="6">
        <v>43269</v>
      </c>
      <c r="J57" s="7" t="str">
        <f>"000236"</f>
        <v>000236</v>
      </c>
      <c r="K57" s="6">
        <v>43529</v>
      </c>
      <c r="L57" s="7" t="str">
        <f>"000504"</f>
        <v>000504</v>
      </c>
      <c r="M57" s="6">
        <v>43535</v>
      </c>
      <c r="N57" s="7">
        <v>18</v>
      </c>
      <c r="O57" s="7" t="str">
        <f>"000873"</f>
        <v>000873</v>
      </c>
      <c r="P57" s="6">
        <v>43578</v>
      </c>
      <c r="Q57" s="11">
        <v>97.865840000000006</v>
      </c>
      <c r="R57" s="11">
        <v>10.60671</v>
      </c>
      <c r="S57" s="11">
        <v>87.259129999999999</v>
      </c>
      <c r="T57" s="7">
        <v>134</v>
      </c>
      <c r="U57" s="6">
        <v>43676</v>
      </c>
      <c r="V57" s="7">
        <v>8904904737</v>
      </c>
      <c r="W57" s="10" t="s">
        <v>56</v>
      </c>
      <c r="X57" s="7" t="s">
        <v>40</v>
      </c>
      <c r="Y57" s="10" t="s">
        <v>41</v>
      </c>
      <c r="Z57" s="7" t="s">
        <v>57</v>
      </c>
      <c r="AA57" s="10" t="s">
        <v>58</v>
      </c>
      <c r="AB57" s="11">
        <f t="shared" si="1"/>
        <v>0.97865840000000004</v>
      </c>
    </row>
    <row r="58" spans="1:28" x14ac:dyDescent="0.35">
      <c r="A58" s="4">
        <v>4157</v>
      </c>
      <c r="B58" s="5" t="s">
        <v>165</v>
      </c>
      <c r="C58" s="6">
        <v>43684</v>
      </c>
      <c r="D58" s="7">
        <v>130</v>
      </c>
      <c r="E58" s="8" t="s">
        <v>53</v>
      </c>
      <c r="F58" s="7" t="s">
        <v>166</v>
      </c>
      <c r="G58" s="10" t="s">
        <v>167</v>
      </c>
      <c r="H58" s="7" t="str">
        <f>"000011"</f>
        <v>000011</v>
      </c>
      <c r="I58" s="6">
        <v>42832</v>
      </c>
      <c r="J58" s="7" t="str">
        <f>"000098"</f>
        <v>000098</v>
      </c>
      <c r="K58" s="6">
        <v>43005</v>
      </c>
      <c r="L58" s="7" t="str">
        <f>"000303"</f>
        <v>000303</v>
      </c>
      <c r="M58" s="6">
        <v>43097</v>
      </c>
      <c r="N58" s="7">
        <v>17</v>
      </c>
      <c r="O58" s="7" t="str">
        <f>"004240"</f>
        <v>004240</v>
      </c>
      <c r="P58" s="6">
        <v>43680</v>
      </c>
      <c r="Q58" s="11">
        <v>4.9744799999999998</v>
      </c>
      <c r="R58" s="11">
        <v>0.60216000000000003</v>
      </c>
      <c r="S58" s="11">
        <v>4.3723200000000002</v>
      </c>
      <c r="T58" s="7">
        <v>144</v>
      </c>
      <c r="U58" s="6">
        <v>43684</v>
      </c>
      <c r="V58" s="7">
        <v>9845235505</v>
      </c>
      <c r="W58" s="10" t="s">
        <v>83</v>
      </c>
      <c r="X58" s="7" t="s">
        <v>30</v>
      </c>
      <c r="Y58" s="10" t="s">
        <v>31</v>
      </c>
      <c r="Z58" s="7" t="s">
        <v>57</v>
      </c>
      <c r="AA58" s="10" t="s">
        <v>58</v>
      </c>
      <c r="AB58" s="11">
        <f t="shared" si="1"/>
        <v>4.9744799999999999E-2</v>
      </c>
    </row>
    <row r="59" spans="1:28" x14ac:dyDescent="0.35">
      <c r="A59" s="4">
        <v>4158</v>
      </c>
      <c r="B59" s="5" t="s">
        <v>165</v>
      </c>
      <c r="C59" s="6">
        <v>43684</v>
      </c>
      <c r="D59" s="7">
        <v>130</v>
      </c>
      <c r="E59" s="8" t="s">
        <v>53</v>
      </c>
      <c r="F59" s="7" t="s">
        <v>168</v>
      </c>
      <c r="G59" s="10" t="s">
        <v>169</v>
      </c>
      <c r="H59" s="7" t="str">
        <f>"000014"</f>
        <v>000014</v>
      </c>
      <c r="I59" s="6">
        <v>42832</v>
      </c>
      <c r="J59" s="7" t="str">
        <f>"000097"</f>
        <v>000097</v>
      </c>
      <c r="K59" s="6">
        <v>43005</v>
      </c>
      <c r="L59" s="7" t="str">
        <f>"000310"</f>
        <v>000310</v>
      </c>
      <c r="M59" s="6">
        <v>43099</v>
      </c>
      <c r="N59" s="7">
        <v>17</v>
      </c>
      <c r="O59" s="7" t="str">
        <f>"004245"</f>
        <v>004245</v>
      </c>
      <c r="P59" s="6">
        <v>43680</v>
      </c>
      <c r="Q59" s="11">
        <v>4.9744799999999998</v>
      </c>
      <c r="R59" s="11">
        <v>0.60214000000000001</v>
      </c>
      <c r="S59" s="11">
        <v>4.3723400000000003</v>
      </c>
      <c r="T59" s="7">
        <v>144</v>
      </c>
      <c r="U59" s="6">
        <v>43684</v>
      </c>
      <c r="V59" s="7">
        <v>9845235505</v>
      </c>
      <c r="W59" s="10" t="s">
        <v>83</v>
      </c>
      <c r="X59" s="7" t="s">
        <v>30</v>
      </c>
      <c r="Y59" s="10" t="s">
        <v>31</v>
      </c>
      <c r="Z59" s="7" t="s">
        <v>57</v>
      </c>
      <c r="AA59" s="10" t="s">
        <v>58</v>
      </c>
      <c r="AB59" s="11">
        <f t="shared" si="1"/>
        <v>4.9744799999999999E-2</v>
      </c>
    </row>
    <row r="60" spans="1:28" x14ac:dyDescent="0.35">
      <c r="A60" s="4">
        <v>4159</v>
      </c>
      <c r="B60" s="5" t="s">
        <v>165</v>
      </c>
      <c r="C60" s="6">
        <v>43684</v>
      </c>
      <c r="D60" s="7">
        <v>130</v>
      </c>
      <c r="E60" s="8" t="s">
        <v>53</v>
      </c>
      <c r="F60" s="7" t="s">
        <v>170</v>
      </c>
      <c r="G60" s="10" t="s">
        <v>171</v>
      </c>
      <c r="H60" s="7" t="str">
        <f>"000013"</f>
        <v>000013</v>
      </c>
      <c r="I60" s="6">
        <v>42832</v>
      </c>
      <c r="J60" s="7" t="str">
        <f>"000094"</f>
        <v>000094</v>
      </c>
      <c r="K60" s="6">
        <v>43005</v>
      </c>
      <c r="L60" s="7" t="str">
        <f>"000393"</f>
        <v>000393</v>
      </c>
      <c r="M60" s="6">
        <v>43164</v>
      </c>
      <c r="N60" s="7">
        <v>17</v>
      </c>
      <c r="O60" s="7" t="str">
        <f>"004249"</f>
        <v>004249</v>
      </c>
      <c r="P60" s="6">
        <v>43680</v>
      </c>
      <c r="Q60" s="11">
        <v>4.9744799999999998</v>
      </c>
      <c r="R60" s="11">
        <v>0.40317999999999998</v>
      </c>
      <c r="S60" s="11">
        <v>4.5712999999999999</v>
      </c>
      <c r="T60" s="7">
        <v>144</v>
      </c>
      <c r="U60" s="6">
        <v>43684</v>
      </c>
      <c r="V60" s="7">
        <v>9845235505</v>
      </c>
      <c r="W60" s="10" t="s">
        <v>33</v>
      </c>
      <c r="X60" s="7" t="s">
        <v>30</v>
      </c>
      <c r="Y60" s="10" t="s">
        <v>31</v>
      </c>
      <c r="Z60" s="7" t="s">
        <v>57</v>
      </c>
      <c r="AA60" s="10" t="s">
        <v>58</v>
      </c>
      <c r="AB60" s="11">
        <f t="shared" si="1"/>
        <v>4.9744799999999999E-2</v>
      </c>
    </row>
    <row r="61" spans="1:28" x14ac:dyDescent="0.35">
      <c r="A61" s="4">
        <v>4160</v>
      </c>
      <c r="B61" s="5" t="s">
        <v>165</v>
      </c>
      <c r="C61" s="6">
        <v>43696</v>
      </c>
      <c r="D61" s="7">
        <v>130</v>
      </c>
      <c r="E61" s="8" t="s">
        <v>53</v>
      </c>
      <c r="F61" s="7" t="s">
        <v>172</v>
      </c>
      <c r="G61" s="10" t="s">
        <v>173</v>
      </c>
      <c r="H61" s="7" t="str">
        <f>"000159"</f>
        <v>000159</v>
      </c>
      <c r="I61" s="6">
        <v>43099</v>
      </c>
      <c r="J61" s="7" t="str">
        <f>"333436"</f>
        <v>333436</v>
      </c>
      <c r="K61" s="6">
        <v>43164</v>
      </c>
      <c r="L61" s="7" t="str">
        <f>"000400"</f>
        <v>000400</v>
      </c>
      <c r="M61" s="6">
        <v>43167</v>
      </c>
      <c r="N61" s="7">
        <v>18</v>
      </c>
      <c r="O61" s="7" t="str">
        <f>"004344"</f>
        <v>004344</v>
      </c>
      <c r="P61" s="6">
        <v>43684</v>
      </c>
      <c r="Q61" s="11">
        <v>91.329589999999996</v>
      </c>
      <c r="R61" s="11">
        <v>7.7377000000000002</v>
      </c>
      <c r="S61" s="11">
        <v>83.591890000000006</v>
      </c>
      <c r="T61" s="7">
        <v>158</v>
      </c>
      <c r="U61" s="6">
        <v>43696</v>
      </c>
      <c r="V61" s="7">
        <v>8904904737</v>
      </c>
      <c r="W61" s="10" t="s">
        <v>33</v>
      </c>
      <c r="X61" s="7" t="s">
        <v>106</v>
      </c>
      <c r="Y61" s="10" t="s">
        <v>107</v>
      </c>
      <c r="Z61" s="7" t="s">
        <v>57</v>
      </c>
      <c r="AA61" s="10" t="s">
        <v>58</v>
      </c>
      <c r="AB61" s="11">
        <f t="shared" si="1"/>
        <v>0.91329589999999994</v>
      </c>
    </row>
    <row r="62" spans="1:28" x14ac:dyDescent="0.35">
      <c r="A62" s="4">
        <v>4161</v>
      </c>
      <c r="B62" s="5" t="s">
        <v>165</v>
      </c>
      <c r="C62" s="6">
        <v>43696</v>
      </c>
      <c r="D62" s="7">
        <v>130</v>
      </c>
      <c r="E62" s="8" t="s">
        <v>53</v>
      </c>
      <c r="F62" s="7" t="s">
        <v>174</v>
      </c>
      <c r="G62" s="10" t="s">
        <v>175</v>
      </c>
      <c r="H62" s="7" t="str">
        <f>"000150"</f>
        <v>000150</v>
      </c>
      <c r="I62" s="6">
        <v>43097</v>
      </c>
      <c r="J62" s="7" t="str">
        <f>"333434"</f>
        <v>333434</v>
      </c>
      <c r="K62" s="6">
        <v>43162</v>
      </c>
      <c r="L62" s="7" t="str">
        <f>"000399"</f>
        <v>000399</v>
      </c>
      <c r="M62" s="6">
        <v>43166</v>
      </c>
      <c r="N62" s="7">
        <v>18</v>
      </c>
      <c r="O62" s="7" t="str">
        <f>"004345"</f>
        <v>004345</v>
      </c>
      <c r="P62" s="6">
        <v>43684</v>
      </c>
      <c r="Q62" s="11">
        <v>96.184160000000006</v>
      </c>
      <c r="R62" s="11">
        <v>8.3144200000000001</v>
      </c>
      <c r="S62" s="11">
        <v>87.869739999999993</v>
      </c>
      <c r="T62" s="7">
        <v>158</v>
      </c>
      <c r="U62" s="6">
        <v>43696</v>
      </c>
      <c r="V62" s="7">
        <v>8904904737</v>
      </c>
      <c r="W62" s="10" t="s">
        <v>33</v>
      </c>
      <c r="X62" s="7" t="s">
        <v>106</v>
      </c>
      <c r="Y62" s="10" t="s">
        <v>107</v>
      </c>
      <c r="Z62" s="7" t="s">
        <v>57</v>
      </c>
      <c r="AA62" s="10" t="s">
        <v>58</v>
      </c>
      <c r="AB62" s="11">
        <f t="shared" si="1"/>
        <v>0.96184160000000007</v>
      </c>
    </row>
    <row r="63" spans="1:28" x14ac:dyDescent="0.35">
      <c r="A63" s="4">
        <v>4162</v>
      </c>
      <c r="B63" s="5" t="s">
        <v>165</v>
      </c>
      <c r="C63" s="6">
        <v>43696</v>
      </c>
      <c r="D63" s="7">
        <v>130</v>
      </c>
      <c r="E63" s="8" t="s">
        <v>53</v>
      </c>
      <c r="F63" s="7" t="s">
        <v>176</v>
      </c>
      <c r="G63" s="10" t="s">
        <v>177</v>
      </c>
      <c r="H63" s="7" t="str">
        <f>"000163"</f>
        <v>000163</v>
      </c>
      <c r="I63" s="6">
        <v>43099</v>
      </c>
      <c r="J63" s="7" t="str">
        <f>"333445"</f>
        <v>333445</v>
      </c>
      <c r="K63" s="6">
        <v>43170</v>
      </c>
      <c r="L63" s="7" t="str">
        <f>"000409"</f>
        <v>000409</v>
      </c>
      <c r="M63" s="6">
        <v>43173</v>
      </c>
      <c r="N63" s="7">
        <v>18</v>
      </c>
      <c r="O63" s="7" t="str">
        <f>"004392"</f>
        <v>004392</v>
      </c>
      <c r="P63" s="6">
        <v>43686</v>
      </c>
      <c r="Q63" s="11">
        <v>48.100299999999997</v>
      </c>
      <c r="R63" s="11">
        <v>4.1196299999999999</v>
      </c>
      <c r="S63" s="11">
        <v>43.980670000000003</v>
      </c>
      <c r="T63" s="7">
        <v>158</v>
      </c>
      <c r="U63" s="6">
        <v>43696</v>
      </c>
      <c r="V63" s="7">
        <v>8904904737</v>
      </c>
      <c r="W63" s="10" t="s">
        <v>33</v>
      </c>
      <c r="X63" s="7" t="s">
        <v>106</v>
      </c>
      <c r="Y63" s="10" t="s">
        <v>107</v>
      </c>
      <c r="Z63" s="7" t="s">
        <v>57</v>
      </c>
      <c r="AA63" s="10" t="s">
        <v>58</v>
      </c>
      <c r="AB63" s="11">
        <f t="shared" si="1"/>
        <v>0.48100299999999996</v>
      </c>
    </row>
    <row r="64" spans="1:28" x14ac:dyDescent="0.35">
      <c r="A64" s="4">
        <v>4163</v>
      </c>
      <c r="B64" s="5" t="s">
        <v>165</v>
      </c>
      <c r="C64" s="6">
        <v>43696</v>
      </c>
      <c r="D64" s="7">
        <v>130</v>
      </c>
      <c r="E64" s="8" t="s">
        <v>53</v>
      </c>
      <c r="F64" s="7" t="s">
        <v>178</v>
      </c>
      <c r="G64" s="10" t="s">
        <v>179</v>
      </c>
      <c r="H64" s="7" t="str">
        <f>"000162"</f>
        <v>000162</v>
      </c>
      <c r="I64" s="6">
        <v>43099</v>
      </c>
      <c r="J64" s="7" t="str">
        <f>"333446"</f>
        <v>333446</v>
      </c>
      <c r="K64" s="6">
        <v>43170</v>
      </c>
      <c r="L64" s="7" t="str">
        <f>"000410"</f>
        <v>000410</v>
      </c>
      <c r="M64" s="6">
        <v>43173</v>
      </c>
      <c r="N64" s="7">
        <v>18</v>
      </c>
      <c r="O64" s="7" t="str">
        <f>"004393"</f>
        <v>004393</v>
      </c>
      <c r="P64" s="6">
        <v>43686</v>
      </c>
      <c r="Q64" s="11">
        <v>97.232860000000002</v>
      </c>
      <c r="R64" s="11">
        <v>8.2638599999999993</v>
      </c>
      <c r="S64" s="11">
        <v>88.968999999999994</v>
      </c>
      <c r="T64" s="7">
        <v>158</v>
      </c>
      <c r="U64" s="6">
        <v>43696</v>
      </c>
      <c r="V64" s="7">
        <v>8904904737</v>
      </c>
      <c r="W64" s="10" t="s">
        <v>33</v>
      </c>
      <c r="X64" s="7" t="s">
        <v>106</v>
      </c>
      <c r="Y64" s="10" t="s">
        <v>107</v>
      </c>
      <c r="Z64" s="7" t="s">
        <v>57</v>
      </c>
      <c r="AA64" s="10" t="s">
        <v>58</v>
      </c>
      <c r="AB64" s="11">
        <f t="shared" si="1"/>
        <v>0.97232859999999999</v>
      </c>
    </row>
    <row r="65" spans="1:28" x14ac:dyDescent="0.35">
      <c r="A65" s="4">
        <v>4164</v>
      </c>
      <c r="B65" s="5" t="s">
        <v>165</v>
      </c>
      <c r="C65" s="6">
        <v>43696</v>
      </c>
      <c r="D65" s="7">
        <v>130</v>
      </c>
      <c r="E65" s="8" t="s">
        <v>53</v>
      </c>
      <c r="F65" s="7" t="s">
        <v>180</v>
      </c>
      <c r="G65" s="10" t="s">
        <v>181</v>
      </c>
      <c r="H65" s="7" t="str">
        <f>"000083"</f>
        <v>000083</v>
      </c>
      <c r="I65" s="6">
        <v>43069</v>
      </c>
      <c r="J65" s="7" t="str">
        <f>"000037"</f>
        <v>000037</v>
      </c>
      <c r="K65" s="6">
        <v>43199</v>
      </c>
      <c r="L65" s="7" t="str">
        <f>"000041"</f>
        <v>000041</v>
      </c>
      <c r="M65" s="6">
        <v>43207</v>
      </c>
      <c r="N65" s="7">
        <v>18</v>
      </c>
      <c r="O65" s="7" t="str">
        <f>"005264"</f>
        <v>005264</v>
      </c>
      <c r="P65" s="6">
        <v>43728</v>
      </c>
      <c r="Q65" s="11">
        <v>58.911999999999999</v>
      </c>
      <c r="R65" s="11">
        <v>5.1718700000000002</v>
      </c>
      <c r="S65" s="11">
        <v>53.740130000000001</v>
      </c>
      <c r="T65" s="7">
        <v>158</v>
      </c>
      <c r="U65" s="6">
        <v>43696</v>
      </c>
      <c r="V65" s="7">
        <v>8904904737</v>
      </c>
      <c r="W65" s="10" t="s">
        <v>33</v>
      </c>
      <c r="X65" s="7" t="s">
        <v>106</v>
      </c>
      <c r="Y65" s="10" t="s">
        <v>107</v>
      </c>
      <c r="Z65" s="7" t="s">
        <v>57</v>
      </c>
      <c r="AA65" s="10" t="s">
        <v>58</v>
      </c>
      <c r="AB65" s="11">
        <f t="shared" si="1"/>
        <v>0.58911999999999998</v>
      </c>
    </row>
    <row r="66" spans="1:28" x14ac:dyDescent="0.35">
      <c r="A66" s="4">
        <v>4165</v>
      </c>
      <c r="B66" s="5" t="s">
        <v>165</v>
      </c>
      <c r="C66" s="6">
        <v>43696</v>
      </c>
      <c r="D66" s="7">
        <v>130</v>
      </c>
      <c r="E66" s="8" t="s">
        <v>53</v>
      </c>
      <c r="F66" s="7" t="s">
        <v>182</v>
      </c>
      <c r="G66" s="10" t="s">
        <v>183</v>
      </c>
      <c r="H66" s="7" t="str">
        <f>"000164"</f>
        <v>000164</v>
      </c>
      <c r="I66" s="6">
        <v>43099</v>
      </c>
      <c r="J66" s="7" t="str">
        <f>"333444"</f>
        <v>333444</v>
      </c>
      <c r="K66" s="6">
        <v>43170</v>
      </c>
      <c r="L66" s="7" t="str">
        <f>"000412"</f>
        <v>000412</v>
      </c>
      <c r="M66" s="6">
        <v>43173</v>
      </c>
      <c r="N66" s="7">
        <v>18</v>
      </c>
      <c r="O66" s="7" t="str">
        <f>"004395"</f>
        <v>004395</v>
      </c>
      <c r="P66" s="6">
        <v>43686</v>
      </c>
      <c r="Q66" s="11">
        <v>45.140500000000003</v>
      </c>
      <c r="R66" s="11">
        <v>3.9763899999999999</v>
      </c>
      <c r="S66" s="11">
        <v>41.164110000000001</v>
      </c>
      <c r="T66" s="7">
        <v>158</v>
      </c>
      <c r="U66" s="6">
        <v>43696</v>
      </c>
      <c r="V66" s="7">
        <v>8904904737</v>
      </c>
      <c r="W66" s="10" t="s">
        <v>33</v>
      </c>
      <c r="X66" s="7" t="s">
        <v>106</v>
      </c>
      <c r="Y66" s="10" t="s">
        <v>107</v>
      </c>
      <c r="Z66" s="7" t="s">
        <v>57</v>
      </c>
      <c r="AA66" s="10" t="s">
        <v>58</v>
      </c>
      <c r="AB66" s="11">
        <f t="shared" si="1"/>
        <v>0.45140500000000006</v>
      </c>
    </row>
    <row r="67" spans="1:28" x14ac:dyDescent="0.35">
      <c r="A67" s="4">
        <v>4166</v>
      </c>
      <c r="B67" s="5" t="s">
        <v>165</v>
      </c>
      <c r="C67" s="6">
        <v>43696</v>
      </c>
      <c r="D67" s="7">
        <v>130</v>
      </c>
      <c r="E67" s="8" t="s">
        <v>53</v>
      </c>
      <c r="F67" s="7" t="s">
        <v>184</v>
      </c>
      <c r="G67" s="10" t="s">
        <v>185</v>
      </c>
      <c r="H67" s="7" t="str">
        <f>"000161"</f>
        <v>000161</v>
      </c>
      <c r="I67" s="6">
        <v>43099</v>
      </c>
      <c r="J67" s="7" t="str">
        <f>"333443"</f>
        <v>333443</v>
      </c>
      <c r="K67" s="6">
        <v>43170</v>
      </c>
      <c r="L67" s="7" t="str">
        <f>"000413"</f>
        <v>000413</v>
      </c>
      <c r="M67" s="6">
        <v>43173</v>
      </c>
      <c r="N67" s="7">
        <v>18</v>
      </c>
      <c r="O67" s="7" t="str">
        <f>"004396"</f>
        <v>004396</v>
      </c>
      <c r="P67" s="6">
        <v>43686</v>
      </c>
      <c r="Q67" s="11">
        <v>97.171999999999997</v>
      </c>
      <c r="R67" s="11">
        <v>8.4509600000000002</v>
      </c>
      <c r="S67" s="11">
        <v>88.721040000000002</v>
      </c>
      <c r="T67" s="7">
        <v>158</v>
      </c>
      <c r="U67" s="6">
        <v>43696</v>
      </c>
      <c r="V67" s="7">
        <v>8904904737</v>
      </c>
      <c r="W67" s="10" t="s">
        <v>33</v>
      </c>
      <c r="X67" s="7" t="s">
        <v>106</v>
      </c>
      <c r="Y67" s="10" t="s">
        <v>107</v>
      </c>
      <c r="Z67" s="7" t="s">
        <v>57</v>
      </c>
      <c r="AA67" s="10" t="s">
        <v>58</v>
      </c>
      <c r="AB67" s="11">
        <f t="shared" si="1"/>
        <v>0.97171999999999992</v>
      </c>
    </row>
    <row r="68" spans="1:28" x14ac:dyDescent="0.35">
      <c r="A68" s="4">
        <v>4167</v>
      </c>
      <c r="B68" s="5" t="s">
        <v>165</v>
      </c>
      <c r="C68" s="6">
        <v>43696</v>
      </c>
      <c r="D68" s="7">
        <v>130</v>
      </c>
      <c r="E68" s="8" t="s">
        <v>53</v>
      </c>
      <c r="F68" s="7" t="s">
        <v>124</v>
      </c>
      <c r="G68" s="10" t="s">
        <v>125</v>
      </c>
      <c r="H68" s="7" t="str">
        <f>"000027"</f>
        <v>000027</v>
      </c>
      <c r="I68" s="6">
        <v>43623</v>
      </c>
      <c r="J68" s="7" t="str">
        <f>"000073"</f>
        <v>000073</v>
      </c>
      <c r="K68" s="6">
        <v>43672</v>
      </c>
      <c r="L68" s="7" t="str">
        <f>"000108"</f>
        <v>000108</v>
      </c>
      <c r="M68" s="6">
        <v>43676</v>
      </c>
      <c r="N68" s="7">
        <v>19</v>
      </c>
      <c r="O68" s="7" t="str">
        <f>"004423"</f>
        <v>004423</v>
      </c>
      <c r="P68" s="6">
        <v>43690</v>
      </c>
      <c r="Q68" s="11">
        <v>27.216080000000002</v>
      </c>
      <c r="R68" s="11">
        <v>2.6313300000000002</v>
      </c>
      <c r="S68" s="11">
        <v>24.58475</v>
      </c>
      <c r="T68" s="7">
        <v>159</v>
      </c>
      <c r="U68" s="6">
        <v>43696</v>
      </c>
      <c r="V68" s="7">
        <v>9845222227</v>
      </c>
      <c r="W68" s="10" t="s">
        <v>126</v>
      </c>
      <c r="X68" s="7" t="s">
        <v>127</v>
      </c>
      <c r="Y68" s="10" t="s">
        <v>128</v>
      </c>
      <c r="Z68" s="7" t="s">
        <v>57</v>
      </c>
      <c r="AA68" s="10" t="s">
        <v>58</v>
      </c>
      <c r="AB68" s="11">
        <f t="shared" si="1"/>
        <v>0.27216080000000004</v>
      </c>
    </row>
    <row r="69" spans="1:28" x14ac:dyDescent="0.35">
      <c r="A69" s="4">
        <v>4168</v>
      </c>
      <c r="B69" s="5" t="s">
        <v>165</v>
      </c>
      <c r="C69" s="6">
        <v>43696</v>
      </c>
      <c r="D69" s="7">
        <v>130</v>
      </c>
      <c r="E69" s="8" t="s">
        <v>53</v>
      </c>
      <c r="F69" s="7" t="s">
        <v>129</v>
      </c>
      <c r="G69" s="10" t="s">
        <v>130</v>
      </c>
      <c r="H69" s="7" t="str">
        <f>"000028"</f>
        <v>000028</v>
      </c>
      <c r="I69" s="6">
        <v>43623</v>
      </c>
      <c r="J69" s="7" t="str">
        <f>"000074"</f>
        <v>000074</v>
      </c>
      <c r="K69" s="6">
        <v>43672</v>
      </c>
      <c r="L69" s="7" t="str">
        <f>"000109"</f>
        <v>000109</v>
      </c>
      <c r="M69" s="6">
        <v>43676</v>
      </c>
      <c r="N69" s="7">
        <v>19</v>
      </c>
      <c r="O69" s="7" t="str">
        <f>"004424"</f>
        <v>004424</v>
      </c>
      <c r="P69" s="6">
        <v>43690</v>
      </c>
      <c r="Q69" s="11">
        <v>46.285699999999999</v>
      </c>
      <c r="R69" s="11">
        <v>4.4957799999999999</v>
      </c>
      <c r="S69" s="11">
        <v>41.789920000000002</v>
      </c>
      <c r="T69" s="7">
        <v>159</v>
      </c>
      <c r="U69" s="6">
        <v>43696</v>
      </c>
      <c r="V69" s="7">
        <v>9845222227</v>
      </c>
      <c r="W69" s="10" t="s">
        <v>126</v>
      </c>
      <c r="X69" s="7" t="s">
        <v>127</v>
      </c>
      <c r="Y69" s="10" t="s">
        <v>128</v>
      </c>
      <c r="Z69" s="7" t="s">
        <v>57</v>
      </c>
      <c r="AA69" s="10" t="s">
        <v>58</v>
      </c>
      <c r="AB69" s="11">
        <f t="shared" si="1"/>
        <v>0.46285699999999996</v>
      </c>
    </row>
    <row r="70" spans="1:28" x14ac:dyDescent="0.35">
      <c r="A70" s="4">
        <v>4169</v>
      </c>
      <c r="B70" s="5" t="s">
        <v>186</v>
      </c>
      <c r="C70" s="6">
        <v>43732</v>
      </c>
      <c r="D70" s="7">
        <v>130</v>
      </c>
      <c r="E70" s="8" t="s">
        <v>53</v>
      </c>
      <c r="F70" s="7" t="s">
        <v>180</v>
      </c>
      <c r="G70" s="10" t="s">
        <v>181</v>
      </c>
      <c r="H70" s="7" t="str">
        <f>"000083"</f>
        <v>000083</v>
      </c>
      <c r="I70" s="6">
        <v>43069</v>
      </c>
      <c r="J70" s="7" t="str">
        <f>"000037"</f>
        <v>000037</v>
      </c>
      <c r="K70" s="6">
        <v>43199</v>
      </c>
      <c r="L70" s="7" t="str">
        <f>"000041"</f>
        <v>000041</v>
      </c>
      <c r="M70" s="6">
        <v>43207</v>
      </c>
      <c r="N70" s="7">
        <v>18</v>
      </c>
      <c r="O70" s="7" t="str">
        <f>"005264"</f>
        <v>005264</v>
      </c>
      <c r="P70" s="6">
        <v>43728</v>
      </c>
      <c r="Q70" s="11">
        <v>14.85</v>
      </c>
      <c r="R70" s="11">
        <v>1.4850000000000001</v>
      </c>
      <c r="S70" s="11">
        <v>13.365</v>
      </c>
      <c r="T70" s="7">
        <v>199</v>
      </c>
      <c r="U70" s="6">
        <v>43732</v>
      </c>
      <c r="V70" s="7">
        <v>9538136111</v>
      </c>
      <c r="W70" s="10" t="s">
        <v>187</v>
      </c>
      <c r="X70" s="7" t="s">
        <v>106</v>
      </c>
      <c r="Y70" s="10" t="s">
        <v>107</v>
      </c>
      <c r="Z70" s="7" t="s">
        <v>57</v>
      </c>
      <c r="AA70" s="10" t="s">
        <v>58</v>
      </c>
      <c r="AB70" s="11">
        <f t="shared" si="1"/>
        <v>0.14849999999999999</v>
      </c>
    </row>
    <row r="71" spans="1:28" x14ac:dyDescent="0.35">
      <c r="A71" s="4">
        <v>4170</v>
      </c>
      <c r="B71" s="5" t="s">
        <v>186</v>
      </c>
      <c r="C71" s="6">
        <v>43732</v>
      </c>
      <c r="D71" s="7">
        <v>130</v>
      </c>
      <c r="E71" s="8" t="s">
        <v>53</v>
      </c>
      <c r="F71" s="7" t="s">
        <v>180</v>
      </c>
      <c r="G71" s="10" t="s">
        <v>181</v>
      </c>
      <c r="H71" s="7" t="str">
        <f>"000083"</f>
        <v>000083</v>
      </c>
      <c r="I71" s="6">
        <v>43069</v>
      </c>
      <c r="J71" s="7" t="str">
        <f>"000037"</f>
        <v>000037</v>
      </c>
      <c r="K71" s="6">
        <v>43199</v>
      </c>
      <c r="L71" s="7" t="str">
        <f>"000041"</f>
        <v>000041</v>
      </c>
      <c r="M71" s="6">
        <v>43207</v>
      </c>
      <c r="N71" s="7">
        <v>18</v>
      </c>
      <c r="O71" s="7" t="str">
        <f>"005264"</f>
        <v>005264</v>
      </c>
      <c r="P71" s="6">
        <v>43728</v>
      </c>
      <c r="Q71" s="11">
        <v>14.8</v>
      </c>
      <c r="R71" s="11">
        <v>1.48</v>
      </c>
      <c r="S71" s="11">
        <v>13.32</v>
      </c>
      <c r="T71" s="7">
        <v>199</v>
      </c>
      <c r="U71" s="6">
        <v>43732</v>
      </c>
      <c r="V71" s="7">
        <v>9538136111</v>
      </c>
      <c r="W71" s="10" t="s">
        <v>188</v>
      </c>
      <c r="X71" s="7" t="s">
        <v>106</v>
      </c>
      <c r="Y71" s="10" t="s">
        <v>107</v>
      </c>
      <c r="Z71" s="7" t="s">
        <v>57</v>
      </c>
      <c r="AA71" s="10" t="s">
        <v>58</v>
      </c>
      <c r="AB71" s="11">
        <f t="shared" si="1"/>
        <v>0.14800000000000002</v>
      </c>
    </row>
    <row r="72" spans="1:28" x14ac:dyDescent="0.35">
      <c r="A72" s="4">
        <v>4171</v>
      </c>
      <c r="B72" s="5" t="s">
        <v>186</v>
      </c>
      <c r="C72" s="6">
        <v>43735</v>
      </c>
      <c r="D72" s="7">
        <v>130</v>
      </c>
      <c r="E72" s="8" t="s">
        <v>53</v>
      </c>
      <c r="F72" s="7" t="s">
        <v>189</v>
      </c>
      <c r="G72" s="10" t="s">
        <v>190</v>
      </c>
      <c r="H72" s="7" t="str">
        <f>"000016"</f>
        <v>000016</v>
      </c>
      <c r="I72" s="6">
        <v>43622</v>
      </c>
      <c r="J72" s="7" t="str">
        <f>"000082"</f>
        <v>000082</v>
      </c>
      <c r="K72" s="6">
        <v>43715</v>
      </c>
      <c r="L72" s="7" t="str">
        <f>"000128"</f>
        <v>000128</v>
      </c>
      <c r="M72" s="6">
        <v>43717</v>
      </c>
      <c r="N72" s="7">
        <v>19</v>
      </c>
      <c r="O72" s="7" t="str">
        <f>"005133"</f>
        <v>005133</v>
      </c>
      <c r="P72" s="6">
        <v>43724</v>
      </c>
      <c r="Q72" s="11">
        <v>48.543320000000001</v>
      </c>
      <c r="R72" s="11">
        <v>5.1364099999999997</v>
      </c>
      <c r="S72" s="11">
        <v>43.406910000000003</v>
      </c>
      <c r="T72" s="7">
        <v>204</v>
      </c>
      <c r="U72" s="6">
        <v>43735</v>
      </c>
      <c r="V72" s="7">
        <v>9731449749</v>
      </c>
      <c r="W72" s="10" t="s">
        <v>191</v>
      </c>
      <c r="X72" s="7" t="s">
        <v>38</v>
      </c>
      <c r="Y72" s="10" t="s">
        <v>39</v>
      </c>
      <c r="Z72" s="7" t="s">
        <v>57</v>
      </c>
      <c r="AA72" s="10" t="s">
        <v>58</v>
      </c>
      <c r="AB72" s="11">
        <f t="shared" si="1"/>
        <v>0.48543320000000001</v>
      </c>
    </row>
    <row r="73" spans="1:28" x14ac:dyDescent="0.35">
      <c r="A73" s="4">
        <v>4172</v>
      </c>
      <c r="B73" s="5" t="s">
        <v>192</v>
      </c>
      <c r="C73" s="6">
        <v>43757</v>
      </c>
      <c r="D73" s="4">
        <v>130</v>
      </c>
      <c r="E73" s="8" t="s">
        <v>53</v>
      </c>
      <c r="F73" s="7" t="s">
        <v>193</v>
      </c>
      <c r="G73" s="8" t="s">
        <v>194</v>
      </c>
      <c r="H73" s="7" t="str">
        <f>"000059"</f>
        <v>000059</v>
      </c>
      <c r="I73" s="6">
        <v>42845</v>
      </c>
      <c r="J73" s="7" t="str">
        <f>"000185"</f>
        <v>000185</v>
      </c>
      <c r="K73" s="6">
        <v>43354</v>
      </c>
      <c r="L73" s="7" t="str">
        <f>"000304"</f>
        <v>000304</v>
      </c>
      <c r="M73" s="6">
        <v>43355</v>
      </c>
      <c r="N73" s="7">
        <v>17</v>
      </c>
      <c r="O73" s="7" t="str">
        <f>"005798"</f>
        <v>005798</v>
      </c>
      <c r="P73" s="6">
        <v>43755</v>
      </c>
      <c r="Q73" s="9">
        <v>19.851030000000002</v>
      </c>
      <c r="R73" s="9">
        <v>2.00495</v>
      </c>
      <c r="S73" s="9">
        <v>17.846080000000001</v>
      </c>
      <c r="T73" s="7">
        <v>13</v>
      </c>
      <c r="U73" s="6">
        <v>43757</v>
      </c>
      <c r="V73" s="7">
        <v>9845235505</v>
      </c>
      <c r="W73" s="8" t="s">
        <v>33</v>
      </c>
      <c r="X73" s="7" t="s">
        <v>30</v>
      </c>
      <c r="Y73" s="8" t="s">
        <v>31</v>
      </c>
      <c r="Z73" s="7" t="s">
        <v>57</v>
      </c>
      <c r="AA73" s="8" t="s">
        <v>58</v>
      </c>
      <c r="AB73" s="9">
        <v>0.19851030000000003</v>
      </c>
    </row>
    <row r="74" spans="1:28" x14ac:dyDescent="0.35">
      <c r="A74" s="4">
        <v>4173</v>
      </c>
      <c r="B74" s="5" t="s">
        <v>192</v>
      </c>
      <c r="C74" s="6">
        <v>43757</v>
      </c>
      <c r="D74" s="4">
        <v>130</v>
      </c>
      <c r="E74" s="8" t="s">
        <v>53</v>
      </c>
      <c r="F74" s="7" t="s">
        <v>195</v>
      </c>
      <c r="G74" s="8" t="s">
        <v>196</v>
      </c>
      <c r="H74" s="7" t="str">
        <f>"000003"</f>
        <v>000003</v>
      </c>
      <c r="I74" s="6">
        <v>43191</v>
      </c>
      <c r="J74" s="7" t="str">
        <f>"000186"</f>
        <v>000186</v>
      </c>
      <c r="K74" s="6">
        <v>43354</v>
      </c>
      <c r="L74" s="7" t="str">
        <f>"000306"</f>
        <v>000306</v>
      </c>
      <c r="M74" s="6">
        <v>43358</v>
      </c>
      <c r="N74" s="7">
        <v>17</v>
      </c>
      <c r="O74" s="7" t="str">
        <f>"005803"</f>
        <v>005803</v>
      </c>
      <c r="P74" s="6">
        <v>43755</v>
      </c>
      <c r="Q74" s="9">
        <v>19.798480000000001</v>
      </c>
      <c r="R74" s="9">
        <v>1.99963</v>
      </c>
      <c r="S74" s="9">
        <v>17.798850000000002</v>
      </c>
      <c r="T74" s="7">
        <v>13</v>
      </c>
      <c r="U74" s="6">
        <v>43757</v>
      </c>
      <c r="V74" s="7">
        <v>9845235505</v>
      </c>
      <c r="W74" s="8" t="s">
        <v>33</v>
      </c>
      <c r="X74" s="7" t="s">
        <v>30</v>
      </c>
      <c r="Y74" s="8" t="s">
        <v>31</v>
      </c>
      <c r="Z74" s="7" t="s">
        <v>57</v>
      </c>
      <c r="AA74" s="8" t="s">
        <v>58</v>
      </c>
      <c r="AB74" s="9">
        <v>0.19798480000000002</v>
      </c>
    </row>
    <row r="75" spans="1:28" x14ac:dyDescent="0.35">
      <c r="A75" s="4">
        <v>4174</v>
      </c>
      <c r="B75" s="5" t="s">
        <v>197</v>
      </c>
      <c r="C75" s="6">
        <v>43773</v>
      </c>
      <c r="D75" s="4">
        <v>130</v>
      </c>
      <c r="E75" s="8" t="s">
        <v>53</v>
      </c>
      <c r="F75" s="7" t="s">
        <v>198</v>
      </c>
      <c r="G75" s="8" t="s">
        <v>199</v>
      </c>
      <c r="H75" s="7" t="str">
        <f>"000361"</f>
        <v>000361</v>
      </c>
      <c r="I75" s="6">
        <v>43167</v>
      </c>
      <c r="J75" s="7" t="str">
        <f>""</f>
        <v/>
      </c>
      <c r="K75" s="6"/>
      <c r="L75" s="7" t="str">
        <f>""</f>
        <v/>
      </c>
      <c r="M75" s="6"/>
      <c r="N75" s="7">
        <v>18</v>
      </c>
      <c r="O75" s="7" t="str">
        <f>""</f>
        <v/>
      </c>
      <c r="P75" s="6"/>
      <c r="Q75" s="9">
        <v>196.85605000000001</v>
      </c>
      <c r="R75" s="9">
        <v>8.9210999999999991</v>
      </c>
      <c r="S75" s="9">
        <v>187.93494999999999</v>
      </c>
      <c r="T75" s="7">
        <v>13</v>
      </c>
      <c r="U75" s="6">
        <v>43773</v>
      </c>
      <c r="V75" s="7">
        <v>9845632291</v>
      </c>
      <c r="W75" s="8" t="s">
        <v>200</v>
      </c>
      <c r="X75" s="7" t="s">
        <v>201</v>
      </c>
      <c r="Y75" s="8" t="s">
        <v>202</v>
      </c>
      <c r="Z75" s="7" t="s">
        <v>57</v>
      </c>
      <c r="AA75" s="8" t="s">
        <v>58</v>
      </c>
      <c r="AB75" s="9">
        <v>1.9685605000000002</v>
      </c>
    </row>
    <row r="76" spans="1:28" x14ac:dyDescent="0.35">
      <c r="A76" s="4">
        <v>4175</v>
      </c>
      <c r="B76" s="5" t="s">
        <v>197</v>
      </c>
      <c r="C76" s="6">
        <v>43773</v>
      </c>
      <c r="D76" s="4">
        <v>130</v>
      </c>
      <c r="E76" s="8" t="s">
        <v>53</v>
      </c>
      <c r="F76" s="7" t="s">
        <v>203</v>
      </c>
      <c r="G76" s="8" t="s">
        <v>204</v>
      </c>
      <c r="H76" s="7" t="str">
        <f>"000153"</f>
        <v>000153</v>
      </c>
      <c r="I76" s="6">
        <v>43097</v>
      </c>
      <c r="J76" s="7" t="str">
        <f>"000061"</f>
        <v>000061</v>
      </c>
      <c r="K76" s="6">
        <v>43228</v>
      </c>
      <c r="L76" s="7" t="str">
        <f>"000098"</f>
        <v>000098</v>
      </c>
      <c r="M76" s="6">
        <v>43228</v>
      </c>
      <c r="N76" s="7">
        <v>18</v>
      </c>
      <c r="O76" s="7" t="str">
        <f>"005904"</f>
        <v>005904</v>
      </c>
      <c r="P76" s="6">
        <v>43763</v>
      </c>
      <c r="Q76" s="9">
        <v>88.350539999999995</v>
      </c>
      <c r="R76" s="9">
        <v>8.0843799999999995</v>
      </c>
      <c r="S76" s="9">
        <v>80.266159999999999</v>
      </c>
      <c r="T76" s="7">
        <v>13</v>
      </c>
      <c r="U76" s="6">
        <v>43773</v>
      </c>
      <c r="V76" s="7">
        <v>9845235505</v>
      </c>
      <c r="W76" s="8" t="s">
        <v>33</v>
      </c>
      <c r="X76" s="7" t="s">
        <v>106</v>
      </c>
      <c r="Y76" s="8" t="s">
        <v>107</v>
      </c>
      <c r="Z76" s="7" t="s">
        <v>57</v>
      </c>
      <c r="AA76" s="8" t="s">
        <v>58</v>
      </c>
      <c r="AB76" s="9">
        <v>0.8835054</v>
      </c>
    </row>
    <row r="77" spans="1:28" x14ac:dyDescent="0.35">
      <c r="A77" s="4">
        <v>4176</v>
      </c>
      <c r="B77" s="5" t="s">
        <v>197</v>
      </c>
      <c r="C77" s="6">
        <v>43777</v>
      </c>
      <c r="D77" s="4">
        <v>130</v>
      </c>
      <c r="E77" s="8" t="s">
        <v>53</v>
      </c>
      <c r="F77" s="7" t="s">
        <v>67</v>
      </c>
      <c r="G77" s="8" t="s">
        <v>68</v>
      </c>
      <c r="H77" s="7" t="str">
        <f>"000019"</f>
        <v>000019</v>
      </c>
      <c r="I77" s="6">
        <v>42766</v>
      </c>
      <c r="J77" s="7" t="str">
        <f>"000108"</f>
        <v>000108</v>
      </c>
      <c r="K77" s="6">
        <v>43763</v>
      </c>
      <c r="L77" s="7" t="str">
        <f>"000108"</f>
        <v>000108</v>
      </c>
      <c r="M77" s="6">
        <v>43763</v>
      </c>
      <c r="N77" s="7">
        <v>16</v>
      </c>
      <c r="O77" s="7" t="str">
        <f>"006133"</f>
        <v>006133</v>
      </c>
      <c r="P77" s="6">
        <v>43776</v>
      </c>
      <c r="Q77" s="9">
        <v>2.5438999999999998</v>
      </c>
      <c r="R77" s="9">
        <v>0.31291999999999998</v>
      </c>
      <c r="S77" s="9">
        <v>2.2309800000000002</v>
      </c>
      <c r="T77" s="7">
        <v>13</v>
      </c>
      <c r="U77" s="6">
        <v>43777</v>
      </c>
      <c r="V77" s="7">
        <v>9620096296</v>
      </c>
      <c r="W77" s="8" t="s">
        <v>52</v>
      </c>
      <c r="X77" s="7" t="s">
        <v>35</v>
      </c>
      <c r="Y77" s="8" t="s">
        <v>34</v>
      </c>
      <c r="Z77" s="7" t="s">
        <v>50</v>
      </c>
      <c r="AA77" s="8" t="s">
        <v>51</v>
      </c>
      <c r="AB77" s="9">
        <v>2.5439E-2</v>
      </c>
    </row>
    <row r="78" spans="1:28" x14ac:dyDescent="0.35">
      <c r="A78" s="4">
        <v>4177</v>
      </c>
      <c r="B78" s="5" t="s">
        <v>197</v>
      </c>
      <c r="C78" s="6">
        <v>43777</v>
      </c>
      <c r="D78" s="4">
        <v>130</v>
      </c>
      <c r="E78" s="8" t="s">
        <v>53</v>
      </c>
      <c r="F78" s="7" t="s">
        <v>64</v>
      </c>
      <c r="G78" s="8" t="s">
        <v>65</v>
      </c>
      <c r="H78" s="7" t="str">
        <f>"000020"</f>
        <v>000020</v>
      </c>
      <c r="I78" s="6">
        <v>42766</v>
      </c>
      <c r="J78" s="7" t="str">
        <f>"000117"</f>
        <v>000117</v>
      </c>
      <c r="K78" s="6">
        <v>43768</v>
      </c>
      <c r="L78" s="7" t="str">
        <f>"000117"</f>
        <v>000117</v>
      </c>
      <c r="M78" s="6">
        <v>43768</v>
      </c>
      <c r="N78" s="7">
        <v>16</v>
      </c>
      <c r="O78" s="7" t="str">
        <f>"006140"</f>
        <v>006140</v>
      </c>
      <c r="P78" s="6">
        <v>43776</v>
      </c>
      <c r="Q78" s="9">
        <v>2.2524000000000002</v>
      </c>
      <c r="R78" s="9">
        <v>0.29017999999999999</v>
      </c>
      <c r="S78" s="9">
        <v>1.9622200000000001</v>
      </c>
      <c r="T78" s="7">
        <v>13</v>
      </c>
      <c r="U78" s="6">
        <v>43777</v>
      </c>
      <c r="V78" s="7">
        <v>9845695444</v>
      </c>
      <c r="W78" s="8" t="s">
        <v>66</v>
      </c>
      <c r="X78" s="7" t="s">
        <v>35</v>
      </c>
      <c r="Y78" s="8" t="s">
        <v>34</v>
      </c>
      <c r="Z78" s="7" t="s">
        <v>50</v>
      </c>
      <c r="AA78" s="8" t="s">
        <v>51</v>
      </c>
      <c r="AB78" s="9">
        <v>2.2524000000000002E-2</v>
      </c>
    </row>
    <row r="79" spans="1:28" x14ac:dyDescent="0.35">
      <c r="A79" s="4">
        <v>4178</v>
      </c>
      <c r="B79" s="5" t="s">
        <v>197</v>
      </c>
      <c r="C79" s="6">
        <v>43777</v>
      </c>
      <c r="D79" s="4">
        <v>130</v>
      </c>
      <c r="E79" s="8" t="s">
        <v>53</v>
      </c>
      <c r="F79" s="7" t="s">
        <v>61</v>
      </c>
      <c r="G79" s="8" t="s">
        <v>62</v>
      </c>
      <c r="H79" s="7" t="str">
        <f>"000018"</f>
        <v>000018</v>
      </c>
      <c r="I79" s="6">
        <v>42766</v>
      </c>
      <c r="J79" s="7" t="str">
        <f>"000118"</f>
        <v>000118</v>
      </c>
      <c r="K79" s="6">
        <v>43768</v>
      </c>
      <c r="L79" s="7" t="str">
        <f>"000118"</f>
        <v>000118</v>
      </c>
      <c r="M79" s="6">
        <v>43768</v>
      </c>
      <c r="N79" s="7">
        <v>16</v>
      </c>
      <c r="O79" s="7" t="str">
        <f>"006141"</f>
        <v>006141</v>
      </c>
      <c r="P79" s="6">
        <v>43776</v>
      </c>
      <c r="Q79" s="9">
        <v>2.28328</v>
      </c>
      <c r="R79" s="9">
        <v>0.29354999999999998</v>
      </c>
      <c r="S79" s="9">
        <v>1.98973</v>
      </c>
      <c r="T79" s="7">
        <v>13</v>
      </c>
      <c r="U79" s="6">
        <v>43777</v>
      </c>
      <c r="V79" s="7">
        <v>9845695444</v>
      </c>
      <c r="W79" s="8" t="s">
        <v>63</v>
      </c>
      <c r="X79" s="7" t="s">
        <v>35</v>
      </c>
      <c r="Y79" s="8" t="s">
        <v>34</v>
      </c>
      <c r="Z79" s="7" t="s">
        <v>50</v>
      </c>
      <c r="AA79" s="8" t="s">
        <v>51</v>
      </c>
      <c r="AB79" s="9">
        <v>2.28328E-2</v>
      </c>
    </row>
    <row r="80" spans="1:28" x14ac:dyDescent="0.35">
      <c r="A80" s="4">
        <v>4179</v>
      </c>
      <c r="B80" s="5" t="s">
        <v>197</v>
      </c>
      <c r="C80" s="6">
        <v>43788</v>
      </c>
      <c r="D80" s="4">
        <v>130</v>
      </c>
      <c r="E80" s="8" t="s">
        <v>53</v>
      </c>
      <c r="F80" s="7" t="s">
        <v>205</v>
      </c>
      <c r="G80" s="8" t="s">
        <v>206</v>
      </c>
      <c r="H80" s="7" t="str">
        <f>"000004"</f>
        <v>000004</v>
      </c>
      <c r="I80" s="6">
        <v>42832</v>
      </c>
      <c r="J80" s="7" t="str">
        <f>"000106"</f>
        <v>000106</v>
      </c>
      <c r="K80" s="6">
        <v>43017</v>
      </c>
      <c r="L80" s="7" t="str">
        <f>"000170"</f>
        <v>000170</v>
      </c>
      <c r="M80" s="6">
        <v>43018</v>
      </c>
      <c r="N80" s="7">
        <v>17</v>
      </c>
      <c r="O80" s="7" t="str">
        <f>"006174"</f>
        <v>006174</v>
      </c>
      <c r="P80" s="6">
        <v>43781</v>
      </c>
      <c r="Q80" s="9">
        <v>18.913620000000002</v>
      </c>
      <c r="R80" s="9">
        <v>1.72936</v>
      </c>
      <c r="S80" s="9">
        <v>17.184259999999998</v>
      </c>
      <c r="T80" s="7">
        <v>13</v>
      </c>
      <c r="U80" s="6">
        <v>43788</v>
      </c>
      <c r="V80" s="7">
        <v>9845235505</v>
      </c>
      <c r="W80" s="8" t="s">
        <v>83</v>
      </c>
      <c r="X80" s="7" t="s">
        <v>30</v>
      </c>
      <c r="Y80" s="8" t="s">
        <v>31</v>
      </c>
      <c r="Z80" s="7" t="s">
        <v>57</v>
      </c>
      <c r="AA80" s="8" t="s">
        <v>58</v>
      </c>
      <c r="AB80" s="9">
        <v>0.1891362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2020-01-30T06:32:33Z</dcterms:modified>
</cp:coreProperties>
</file>