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<sst xmlns="http://schemas.openxmlformats.org/spreadsheetml/2006/main" count="469" uniqueCount="182">
  <si>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</si>
  <si>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</si>
  <si>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</si>
  <si>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</si>
  <si>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</si>
  <si>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</si>
  <si>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</si>
  <si>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</si>
  <si>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</si>
  <si>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</si>
  <si>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</si>
  <si>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</si>
  <si>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</si>
  <si>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</si>
  <si>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</si>
  <si>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</si>
  <si>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</si>
  <si>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</si>
  <si>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</si>
  <si>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</si>
  <si>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</si>
  <si>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</si>
  <si>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</si>
  <si>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</si>
  <si>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</si>
  <si>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</si>
  <si>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</si>
  <si>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</si>
  <si>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</si>
  <si>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</si>
  <si>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</si>
  <si>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</si>
  <si>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</si>
  <si>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</si>
  <si>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</si>
  <si>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Allocation for Other Programmes (10.88 Lakhs , New Ward)</t>
  </si>
  <si>
    <t>P2023</t>
  </si>
  <si>
    <t>M and R to Street Lights - Replacement of Burnt Bulbs etc. (Package)</t>
  </si>
  <si>
    <t>P0300</t>
  </si>
  <si>
    <t>ddo209</t>
  </si>
  <si>
    <t xml:space="preserve"> Assistant Executive Engineer Electrical West Zone</t>
  </si>
  <si>
    <t>P3293</t>
  </si>
  <si>
    <t>14th Finance Commission Works - Drinking Water</t>
  </si>
  <si>
    <t>P3292</t>
  </si>
  <si>
    <t>14th Finance Commission Works - Community Property Maintenance (including Parks)</t>
  </si>
  <si>
    <t>P0190</t>
  </si>
  <si>
    <t>Works sanctioned by Hon Mayor</t>
  </si>
  <si>
    <t>P3075</t>
  </si>
  <si>
    <t>Special comprehensive development works in Bangalore city (Bangalore city in charge Minister Discretionary Grants)</t>
  </si>
  <si>
    <t>P3295</t>
  </si>
  <si>
    <t>14th Finance Commission Works - UGD Works</t>
  </si>
  <si>
    <t>P1878</t>
  </si>
  <si>
    <t>18per - Works (Bhagyajyothi, Sooru / Neeru Yojane and General) (54 Lakhs / New Wards)</t>
  </si>
  <si>
    <t xml:space="preserve"> Somashekar .G</t>
  </si>
  <si>
    <t>ddo268</t>
  </si>
  <si>
    <t xml:space="preserve"> Assistant Executive Engineer J J R nagar West Zone</t>
  </si>
  <si>
    <t>Somashekar .G</t>
  </si>
  <si>
    <t>G Somashekar</t>
  </si>
  <si>
    <t>P3297</t>
  </si>
  <si>
    <t>14th Finance Commission Grants - SWD Works</t>
  </si>
  <si>
    <t>Jagajivanaram Nagara</t>
  </si>
  <si>
    <t>136-17-000108</t>
  </si>
  <si>
    <t>Improvements to repairs to JJR nagar south Ambedkar bhavan in ward no-136</t>
  </si>
  <si>
    <t>136-19-000012</t>
  </si>
  <si>
    <t>Repairs and Maintenance to footpath in Mysore road from Muslim burrial ground entrance to 7th cross in JJR Nagara ward no 136</t>
  </si>
  <si>
    <t>136-19-000009</t>
  </si>
  <si>
    <t>Providing water supply lines and repairs of existing borewells in JJR Nagara ward no 136</t>
  </si>
  <si>
    <t>136-19-000022</t>
  </si>
  <si>
    <t>Restoration of roads and drains at 6th cross Padarayanapura in JJR Nagara ward no 136</t>
  </si>
  <si>
    <t>V Ramesh Babu (Arya and co)</t>
  </si>
  <si>
    <t>136-19-000021</t>
  </si>
  <si>
    <t>Providing UGD lines to Janatha colony Devarajurs nagara Vinayakanagara and Padarayanapura surrounding areas in JJR Nagara ward no 136</t>
  </si>
  <si>
    <t>136-19-000018</t>
  </si>
  <si>
    <t>Drilling and commissioning of new borewells and Providing water supply lines to Janatha colony and Devarajurs nagar surrounding areas in JR Nagara ward no 136</t>
  </si>
  <si>
    <t>136-19-000017</t>
  </si>
  <si>
    <t>Maintenance and development works to Park in Janatha colony 2nd cross at JJR Nagara ward no 136</t>
  </si>
  <si>
    <t>136-19-000011</t>
  </si>
  <si>
    <t>Providing UGD supply lines to Padarayanapura 1st cross and 4th main Padarayanapura surrounding areas in JJR Nagara ward no 136</t>
  </si>
  <si>
    <t>Rajanna M</t>
  </si>
  <si>
    <t>136-19-000019</t>
  </si>
  <si>
    <t>Drilling and commissioning of new borewells and Providing water supply lines to Vinayakanagara and surrounding areas in JR Nagara ward no 136</t>
  </si>
  <si>
    <t>136-19-000008</t>
  </si>
  <si>
    <t>Maintenance of existing park in Hosahalli main road in JJR Nagara ward no 136</t>
  </si>
  <si>
    <t>K Boraiah</t>
  </si>
  <si>
    <t>136-19-000023</t>
  </si>
  <si>
    <t>Construction of RCC retaining wall to SWD in 6th cross Mysore road in JJR Nagara ward no 136</t>
  </si>
  <si>
    <t>136-19-000010</t>
  </si>
  <si>
    <t>Improvement and Maintenance of toilet block in JJR Nagara ward no 136</t>
  </si>
  <si>
    <t xml:space="preserve"> K Boraiah</t>
  </si>
  <si>
    <t>136-19-000013</t>
  </si>
  <si>
    <t>Improvements to SWD in 4th cross mysore road in JJR Nagara ward no 136</t>
  </si>
  <si>
    <t>Harsha N</t>
  </si>
  <si>
    <t>136-19-000025</t>
  </si>
  <si>
    <t>Restoration of roads and drains at 2nd cross janatha colony slum  in JJR nagar ward no136</t>
  </si>
  <si>
    <t>136-18-000093</t>
  </si>
  <si>
    <t>Restoration of roads and drains and other developmental works in Devarajursnagar in  ward no-136 jjr nagar</t>
  </si>
  <si>
    <t>136-16-000001</t>
  </si>
  <si>
    <t>Annual Operation And maintenance Of Street Lights at J.J.R nagara and Raypura in Ward No- 136 and 137</t>
  </si>
  <si>
    <t>Himagiri Sree Electricals</t>
  </si>
  <si>
    <t>136-19-000026</t>
  </si>
  <si>
    <t>Restoration of roads and drains at janatha colony slum from mominpura entrance and cremitorium back side in JJR nagar ward no136</t>
  </si>
  <si>
    <t>136-19-000027</t>
  </si>
  <si>
    <t>Restoration of roads and drains at obalesh colony and Devarajurs nagar  in JJR nagar ward no136</t>
  </si>
  <si>
    <t>136-18-000006</t>
  </si>
  <si>
    <t>Reconstruction of compound wall and other repair works at Northen side of Oblesh colony in JJR nagar ward no 136</t>
  </si>
  <si>
    <t>136-17-000095</t>
  </si>
  <si>
    <t>Repair to  Secondary  Drains from 3rd cross  Ist Main  to 4th cross  Padarayanapura from  chainage 35-70m in ward No. 136</t>
  </si>
  <si>
    <t>136-17-000096</t>
  </si>
  <si>
    <t>Repairs to  C C Road in 1st main 3rd cross padarayanapura in ward No. 136</t>
  </si>
  <si>
    <t>136-17-000094</t>
  </si>
  <si>
    <t>Repair to  Secondary  Drains from 3rd cross  Ist Main  to 4th cross  Padarayanapura from  chainage 0-35m in ward No. 136</t>
  </si>
  <si>
    <t>136-17-000086</t>
  </si>
  <si>
    <t>Repair and maintenance of CC Road  and  Drains at  1st A Cross  Vinayaka Nagar  in ward No. 136</t>
  </si>
  <si>
    <t>July</t>
  </si>
  <si>
    <t>136-17-000067</t>
  </si>
  <si>
    <t>Ward Maintanance work using private gangmen and Tractor for the year 2016-17 in ward No. 136</t>
  </si>
  <si>
    <t>P1771</t>
  </si>
  <si>
    <t>Zone Works - POW Works</t>
  </si>
  <si>
    <t>136-17-000090</t>
  </si>
  <si>
    <t>Repair and maintenance of CC Road in 4th Main 1st Cross padarayanapura and surrounding area in ward No. 136</t>
  </si>
  <si>
    <t xml:space="preserve"> G Somashekar</t>
  </si>
  <si>
    <t>136-17-000092</t>
  </si>
  <si>
    <t>Repair and maintenance to C C road, (gully) in oblesh colony and Surrounding area in ward No. 136</t>
  </si>
  <si>
    <t>136-19-000015</t>
  </si>
  <si>
    <t>Providing street lights and maintenance of existing street lights at Devarajurs nagar Vinayakanagar in JJR Nagar ward no 136</t>
  </si>
  <si>
    <t>Sri .Jay Kumar V (Sri Vinayaka electricals)</t>
  </si>
  <si>
    <t>P3290</t>
  </si>
  <si>
    <t>14th Finance Commission Works - Providing Street Lights and Maintenance</t>
  </si>
  <si>
    <t>136-19-000006</t>
  </si>
  <si>
    <t>Maintenance of existing street light at Mysore road Janatha colony and Padarayanapura surrounding area in JJR Nagara ward no 136</t>
  </si>
  <si>
    <t>136-16-000018</t>
  </si>
  <si>
    <t>Providing electrical maintenance of furnance, DG set, motors etc., complete at Chamarajpet electric Crematorim.</t>
  </si>
  <si>
    <t>Sai Electric Com</t>
  </si>
  <si>
    <t>P0287</t>
  </si>
  <si>
    <t>M and R to Electrical Crematoria</t>
  </si>
  <si>
    <t>August</t>
  </si>
  <si>
    <t>136-18-000033</t>
  </si>
  <si>
    <t>Developmental works to existing JJR Nagara park in JJR Nagara ward no 136</t>
  </si>
  <si>
    <t>136-17-000084</t>
  </si>
  <si>
    <t>Repair and maintenance of CC Road and Drains at Thahir Public School Road and surrounding Areas in ward No. 136</t>
  </si>
  <si>
    <t>136-18-000029</t>
  </si>
  <si>
    <t>Repairs and Maintenance to drains in 2nd cross Mysore road in ward no 136</t>
  </si>
  <si>
    <t>136-17-000089</t>
  </si>
  <si>
    <t>Repair and maintenance of CC Road and Drains in at 7th cross mysore Road and surrounding area in ward No. 136</t>
  </si>
  <si>
    <t>136-18-000031</t>
  </si>
  <si>
    <t>Providing street name boards in Vinayakanagara and Devarajurs Nagara in JJR Nagara ward no 136</t>
  </si>
  <si>
    <t>September</t>
  </si>
  <si>
    <t>136-18-000088</t>
  </si>
  <si>
    <t>Construction of Compound wall in HBG Road 45 to 90 Mtrs Chainage for Hindu Burial Ground in JJR Nagara ward no 136</t>
  </si>
  <si>
    <t>136-17-000093</t>
  </si>
  <si>
    <t>Construction of compound wall from 4th cross to kodandaram School in Back side in Oblesh colony in ward No. 136</t>
  </si>
  <si>
    <t>October</t>
  </si>
  <si>
    <t>136-18-000032</t>
  </si>
  <si>
    <t>Repairs and maintenance to CC roads drains in Janatha colony and surrounding areas in ward no 136</t>
  </si>
  <si>
    <t>136-18-000059</t>
  </si>
  <si>
    <t>Improvements to drains and roads and Ashwathkatte and surrounding area in Vinayaka Nagar in ward no 136 JJR Nagara</t>
  </si>
  <si>
    <t>P3261</t>
  </si>
  <si>
    <t>Zone Works Special Grants to Womens represented wards Rs.20.00 Lakhs per ward</t>
  </si>
  <si>
    <t>136-18-000084</t>
  </si>
  <si>
    <t>Improvements to Secondary Darin from 0 to 25 mt Chainage at 6th cross Padarayanapura in JJR Nagar ward no 136</t>
  </si>
  <si>
    <t>Boraiah</t>
  </si>
  <si>
    <t>December</t>
  </si>
  <si>
    <t>136-18-000080</t>
  </si>
  <si>
    <t>Construction of BBMP Anganawadi Centre 2nd cross Mysore road in JJR Nagara ward no 136</t>
  </si>
  <si>
    <t>136-18-000078</t>
  </si>
  <si>
    <t>Construction of Ground floor Building for computer Training Centre at 2nd cross Janatha colony in JJR Nagara ward no 136</t>
  </si>
  <si>
    <t>136-18-000085</t>
  </si>
  <si>
    <t>Improvements to Sathya Harichandra Temple Building at 3rd cross Padarayanapura in JJR Nagar ward no 136</t>
  </si>
  <si>
    <t>136-18-000083</t>
  </si>
  <si>
    <t>Construction of Tailoring Centre at HBG Road in JJR Nagar ward no 136</t>
  </si>
  <si>
    <t>136-18-000079</t>
  </si>
  <si>
    <t>Construction of 1st floor Revenue office Building at HBG Main road in JJR Nagara ward no 136</t>
  </si>
  <si>
    <t>136-18-000003</t>
  </si>
  <si>
    <t>Construction of Multi purpose Gym building at HBG main road in JJR nagar ward no 136</t>
  </si>
  <si>
    <t>136-17-000097</t>
  </si>
  <si>
    <t>Desilting of Secondary drain and improvements from ummer faruquie nagar enterance to 4th cross mysore road in hosahalli main road in ward No. 136 jjr nagar</t>
  </si>
  <si>
    <t>136-17-000091</t>
  </si>
  <si>
    <t>Improments to HBG Main Road from 2rd Cross to 4th Cross Mysore Road in Ward No. 136</t>
  </si>
  <si>
    <t>136-18-000030</t>
  </si>
  <si>
    <t>Repairs and Maintenance to drains in 3rd cross and 5th cross Mysore road in ward no 136</t>
  </si>
  <si>
    <t>136-18-000082</t>
  </si>
  <si>
    <t>Construction of Compound wall at Northern side muslim burrial ground in JJR Nagar ward no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</si>
</sst>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workbookViewId="0">
      <selection activeCell="F4" sqref="F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7.5429687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4315</v>
      </c>
      <c r="B2" s="5" t="s">
        <v>28</v>
      </c>
      <c r="C2" s="6">
        <v>43581</v>
      </c>
      <c r="D2" s="7">
        <v>136</v>
      </c>
      <c r="E2" s="8" t="s">
        <v>60</v>
      </c>
      <c r="F2" s="7" t="s">
        <v>61</v>
      </c>
      <c r="G2" s="8" t="s">
        <v>62</v>
      </c>
      <c r="H2" s="7" t="str">
        <f>"000317"</f>
        <v>000317</v>
      </c>
      <c r="I2" s="6">
        <v>43410</v>
      </c>
      <c r="J2" s="7" t="str">
        <f>"000130"</f>
        <v>000130</v>
      </c>
      <c r="K2" s="6">
        <v>43433</v>
      </c>
      <c r="L2" s="7" t="str">
        <f>"000240"</f>
        <v>000240</v>
      </c>
      <c r="M2" s="6">
        <v>43434</v>
      </c>
      <c r="N2" s="7">
        <v>17</v>
      </c>
      <c r="O2" s="7" t="str">
        <f>"000928"</f>
        <v>000928</v>
      </c>
      <c r="P2" s="6">
        <v>43579</v>
      </c>
      <c r="Q2" s="9">
        <v>3.9337800000000001</v>
      </c>
      <c r="R2" s="9">
        <v>0.38658999999999999</v>
      </c>
      <c r="S2" s="9">
        <v>3.5471900000000001</v>
      </c>
      <c r="T2" s="7">
        <v>30</v>
      </c>
      <c r="U2" s="6">
        <v>43581</v>
      </c>
      <c r="V2" s="7">
        <v>9945533990</v>
      </c>
      <c r="W2" s="8" t="s">
        <v>53</v>
      </c>
      <c r="X2" s="7" t="s">
        <v>36</v>
      </c>
      <c r="Y2" s="8" t="s">
        <v>35</v>
      </c>
      <c r="Z2" s="7" t="s">
        <v>54</v>
      </c>
      <c r="AA2" s="8" t="s">
        <v>55</v>
      </c>
      <c r="AB2" s="9">
        <f t="shared" ref="AB2:AB14" si="0">Q2/100</f>
        <v>3.9337799999999999E-2</v>
      </c>
    </row>
    <row r="3" spans="1:28" x14ac:dyDescent="0.35">
      <c r="A3" s="4">
        <v>4316</v>
      </c>
      <c r="B3" s="5" t="s">
        <v>30</v>
      </c>
      <c r="C3" s="6">
        <v>43591</v>
      </c>
      <c r="D3" s="7">
        <v>136</v>
      </c>
      <c r="E3" s="8" t="s">
        <v>60</v>
      </c>
      <c r="F3" s="7" t="s">
        <v>63</v>
      </c>
      <c r="G3" s="8" t="s">
        <v>64</v>
      </c>
      <c r="H3" s="7" t="str">
        <f>"000455"</f>
        <v>000455</v>
      </c>
      <c r="I3" s="6">
        <v>43495</v>
      </c>
      <c r="J3" s="7" t="str">
        <f>"000202"</f>
        <v>000202</v>
      </c>
      <c r="K3" s="6">
        <v>43552</v>
      </c>
      <c r="L3" s="7" t="str">
        <f>"000405"</f>
        <v>000405</v>
      </c>
      <c r="M3" s="6">
        <v>43553</v>
      </c>
      <c r="N3" s="7">
        <v>19</v>
      </c>
      <c r="O3" s="7" t="str">
        <f>"001325"</f>
        <v>001325</v>
      </c>
      <c r="P3" s="6">
        <v>43588</v>
      </c>
      <c r="Q3" s="9">
        <v>16.04918</v>
      </c>
      <c r="R3" s="9">
        <v>0.67344999999999999</v>
      </c>
      <c r="S3" s="9">
        <v>15.375730000000001</v>
      </c>
      <c r="T3" s="7">
        <v>35</v>
      </c>
      <c r="U3" s="6">
        <v>43591</v>
      </c>
      <c r="V3" s="7">
        <v>9945533990</v>
      </c>
      <c r="W3" s="8" t="s">
        <v>56</v>
      </c>
      <c r="X3" s="7" t="s">
        <v>31</v>
      </c>
      <c r="Y3" s="8" t="s">
        <v>32</v>
      </c>
      <c r="Z3" s="7" t="s">
        <v>54</v>
      </c>
      <c r="AA3" s="8" t="s">
        <v>55</v>
      </c>
      <c r="AB3" s="9">
        <f t="shared" si="0"/>
        <v>0.16049179999999999</v>
      </c>
    </row>
    <row r="4" spans="1:28" x14ac:dyDescent="0.35">
      <c r="A4" s="4">
        <v>4317</v>
      </c>
      <c r="B4" s="5" t="s">
        <v>30</v>
      </c>
      <c r="C4" s="6">
        <v>43591</v>
      </c>
      <c r="D4" s="7">
        <v>136</v>
      </c>
      <c r="E4" s="8" t="s">
        <v>60</v>
      </c>
      <c r="F4" s="7" t="s">
        <v>65</v>
      </c>
      <c r="G4" s="8" t="s">
        <v>66</v>
      </c>
      <c r="H4" s="7" t="str">
        <f>"000453"</f>
        <v>000453</v>
      </c>
      <c r="I4" s="6">
        <v>43495</v>
      </c>
      <c r="J4" s="7" t="str">
        <f>"000201"</f>
        <v>000201</v>
      </c>
      <c r="K4" s="6">
        <v>43552</v>
      </c>
      <c r="L4" s="7" t="str">
        <f>"000407"</f>
        <v>000407</v>
      </c>
      <c r="M4" s="6">
        <v>43553</v>
      </c>
      <c r="N4" s="7">
        <v>19</v>
      </c>
      <c r="O4" s="7" t="str">
        <f>"001330"</f>
        <v>001330</v>
      </c>
      <c r="P4" s="6">
        <v>43588</v>
      </c>
      <c r="Q4" s="9">
        <v>22.679459999999999</v>
      </c>
      <c r="R4" s="9">
        <v>0.95169000000000004</v>
      </c>
      <c r="S4" s="9">
        <v>21.72777</v>
      </c>
      <c r="T4" s="7">
        <v>35</v>
      </c>
      <c r="U4" s="6">
        <v>43591</v>
      </c>
      <c r="V4" s="7">
        <v>9945533990</v>
      </c>
      <c r="W4" s="8" t="s">
        <v>56</v>
      </c>
      <c r="X4" s="7" t="s">
        <v>41</v>
      </c>
      <c r="Y4" s="8" t="s">
        <v>42</v>
      </c>
      <c r="Z4" s="7" t="s">
        <v>54</v>
      </c>
      <c r="AA4" s="8" t="s">
        <v>55</v>
      </c>
      <c r="AB4" s="9">
        <f t="shared" si="0"/>
        <v>0.22679459999999999</v>
      </c>
    </row>
    <row r="5" spans="1:28" x14ac:dyDescent="0.35">
      <c r="A5" s="4">
        <v>4318</v>
      </c>
      <c r="B5" s="5" t="s">
        <v>30</v>
      </c>
      <c r="C5" s="6">
        <v>43591</v>
      </c>
      <c r="D5" s="7">
        <v>136</v>
      </c>
      <c r="E5" s="8" t="s">
        <v>60</v>
      </c>
      <c r="F5" s="7" t="s">
        <v>67</v>
      </c>
      <c r="G5" s="8" t="s">
        <v>68</v>
      </c>
      <c r="H5" s="7" t="str">
        <f>"000466"</f>
        <v>000466</v>
      </c>
      <c r="I5" s="6">
        <v>43496</v>
      </c>
      <c r="J5" s="7" t="str">
        <f>"000196"</f>
        <v>000196</v>
      </c>
      <c r="K5" s="6">
        <v>43552</v>
      </c>
      <c r="L5" s="7" t="str">
        <f>"000408"</f>
        <v>000408</v>
      </c>
      <c r="M5" s="6">
        <v>43553</v>
      </c>
      <c r="N5" s="7">
        <v>19</v>
      </c>
      <c r="O5" s="7" t="str">
        <f>"001331"</f>
        <v>001331</v>
      </c>
      <c r="P5" s="6">
        <v>43588</v>
      </c>
      <c r="Q5" s="9">
        <v>33.385210000000001</v>
      </c>
      <c r="R5" s="9">
        <v>3.1894499999999999</v>
      </c>
      <c r="S5" s="9">
        <v>30.19576</v>
      </c>
      <c r="T5" s="7">
        <v>35</v>
      </c>
      <c r="U5" s="6">
        <v>43591</v>
      </c>
      <c r="V5" s="7">
        <v>1234554321</v>
      </c>
      <c r="W5" s="8" t="s">
        <v>69</v>
      </c>
      <c r="X5" s="7" t="s">
        <v>31</v>
      </c>
      <c r="Y5" s="8" t="s">
        <v>32</v>
      </c>
      <c r="Z5" s="7" t="s">
        <v>54</v>
      </c>
      <c r="AA5" s="8" t="s">
        <v>55</v>
      </c>
      <c r="AB5" s="9">
        <f t="shared" si="0"/>
        <v>0.33385209999999998</v>
      </c>
    </row>
    <row r="6" spans="1:28" x14ac:dyDescent="0.35">
      <c r="A6" s="4">
        <v>4319</v>
      </c>
      <c r="B6" s="5" t="s">
        <v>30</v>
      </c>
      <c r="C6" s="6">
        <v>43591</v>
      </c>
      <c r="D6" s="7">
        <v>136</v>
      </c>
      <c r="E6" s="8" t="s">
        <v>60</v>
      </c>
      <c r="F6" s="7" t="s">
        <v>70</v>
      </c>
      <c r="G6" s="8" t="s">
        <v>71</v>
      </c>
      <c r="H6" s="7" t="str">
        <f>"000456"</f>
        <v>000456</v>
      </c>
      <c r="I6" s="6">
        <v>43495</v>
      </c>
      <c r="J6" s="7" t="str">
        <f>"000187"</f>
        <v>000187</v>
      </c>
      <c r="K6" s="6">
        <v>43551</v>
      </c>
      <c r="L6" s="7" t="str">
        <f>"000409"</f>
        <v>000409</v>
      </c>
      <c r="M6" s="6">
        <v>43553</v>
      </c>
      <c r="N6" s="7">
        <v>19</v>
      </c>
      <c r="O6" s="7" t="str">
        <f>"001332"</f>
        <v>001332</v>
      </c>
      <c r="P6" s="6">
        <v>43588</v>
      </c>
      <c r="Q6" s="9">
        <v>33.371479999999998</v>
      </c>
      <c r="R6" s="9">
        <v>1.40036</v>
      </c>
      <c r="S6" s="9">
        <v>31.971119999999999</v>
      </c>
      <c r="T6" s="7">
        <v>35</v>
      </c>
      <c r="U6" s="6">
        <v>43591</v>
      </c>
      <c r="V6" s="7">
        <v>9945533990</v>
      </c>
      <c r="W6" s="8" t="s">
        <v>56</v>
      </c>
      <c r="X6" s="7" t="s">
        <v>49</v>
      </c>
      <c r="Y6" s="8" t="s">
        <v>50</v>
      </c>
      <c r="Z6" s="7" t="s">
        <v>54</v>
      </c>
      <c r="AA6" s="8" t="s">
        <v>55</v>
      </c>
      <c r="AB6" s="9">
        <f t="shared" si="0"/>
        <v>0.33371479999999998</v>
      </c>
    </row>
    <row r="7" spans="1:28" x14ac:dyDescent="0.35">
      <c r="A7" s="4">
        <v>4320</v>
      </c>
      <c r="B7" s="5" t="s">
        <v>30</v>
      </c>
      <c r="C7" s="6">
        <v>43591</v>
      </c>
      <c r="D7" s="7">
        <v>136</v>
      </c>
      <c r="E7" s="8" t="s">
        <v>60</v>
      </c>
      <c r="F7" s="7" t="s">
        <v>72</v>
      </c>
      <c r="G7" s="8" t="s">
        <v>73</v>
      </c>
      <c r="H7" s="7" t="str">
        <f>"000457"</f>
        <v>000457</v>
      </c>
      <c r="I7" s="6">
        <v>43495</v>
      </c>
      <c r="J7" s="7" t="str">
        <f>"000189"</f>
        <v>000189</v>
      </c>
      <c r="K7" s="6">
        <v>43551</v>
      </c>
      <c r="L7" s="7" t="str">
        <f>"000410"</f>
        <v>000410</v>
      </c>
      <c r="M7" s="6">
        <v>43553</v>
      </c>
      <c r="N7" s="7">
        <v>19</v>
      </c>
      <c r="O7" s="7" t="str">
        <f>"001333"</f>
        <v>001333</v>
      </c>
      <c r="P7" s="6">
        <v>43588</v>
      </c>
      <c r="Q7" s="9">
        <v>22.67933</v>
      </c>
      <c r="R7" s="9">
        <v>0.95094999999999996</v>
      </c>
      <c r="S7" s="9">
        <v>21.728380000000001</v>
      </c>
      <c r="T7" s="7">
        <v>35</v>
      </c>
      <c r="U7" s="6">
        <v>43591</v>
      </c>
      <c r="V7" s="7">
        <v>9945533990</v>
      </c>
      <c r="W7" s="8" t="s">
        <v>56</v>
      </c>
      <c r="X7" s="7" t="s">
        <v>41</v>
      </c>
      <c r="Y7" s="8" t="s">
        <v>42</v>
      </c>
      <c r="Z7" s="7" t="s">
        <v>54</v>
      </c>
      <c r="AA7" s="8" t="s">
        <v>55</v>
      </c>
      <c r="AB7" s="9">
        <f t="shared" si="0"/>
        <v>0.2267933</v>
      </c>
    </row>
    <row r="8" spans="1:28" x14ac:dyDescent="0.35">
      <c r="A8" s="4">
        <v>4321</v>
      </c>
      <c r="B8" s="5" t="s">
        <v>30</v>
      </c>
      <c r="C8" s="6">
        <v>43591</v>
      </c>
      <c r="D8" s="7">
        <v>136</v>
      </c>
      <c r="E8" s="8" t="s">
        <v>60</v>
      </c>
      <c r="F8" s="7" t="s">
        <v>74</v>
      </c>
      <c r="G8" s="8" t="s">
        <v>75</v>
      </c>
      <c r="H8" s="7" t="str">
        <f>"000467"</f>
        <v>000467</v>
      </c>
      <c r="I8" s="6">
        <v>43496</v>
      </c>
      <c r="J8" s="7" t="str">
        <f>"000198"</f>
        <v>000198</v>
      </c>
      <c r="K8" s="6">
        <v>43552</v>
      </c>
      <c r="L8" s="7" t="str">
        <f>"000415"</f>
        <v>000415</v>
      </c>
      <c r="M8" s="6">
        <v>43553</v>
      </c>
      <c r="N8" s="7">
        <v>19</v>
      </c>
      <c r="O8" s="7" t="str">
        <f>"001334"</f>
        <v>001334</v>
      </c>
      <c r="P8" s="6">
        <v>43588</v>
      </c>
      <c r="Q8" s="9">
        <v>11.125</v>
      </c>
      <c r="R8" s="9">
        <v>1.16215</v>
      </c>
      <c r="S8" s="9">
        <v>9.9628499999999995</v>
      </c>
      <c r="T8" s="7">
        <v>35</v>
      </c>
      <c r="U8" s="6">
        <v>43591</v>
      </c>
      <c r="V8" s="7">
        <v>1234567891</v>
      </c>
      <c r="W8" s="8" t="s">
        <v>69</v>
      </c>
      <c r="X8" s="7" t="s">
        <v>43</v>
      </c>
      <c r="Y8" s="8" t="s">
        <v>44</v>
      </c>
      <c r="Z8" s="7" t="s">
        <v>54</v>
      </c>
      <c r="AA8" s="8" t="s">
        <v>55</v>
      </c>
      <c r="AB8" s="9">
        <f t="shared" si="0"/>
        <v>0.11125</v>
      </c>
    </row>
    <row r="9" spans="1:28" x14ac:dyDescent="0.35">
      <c r="A9" s="4">
        <v>4322</v>
      </c>
      <c r="B9" s="5" t="s">
        <v>30</v>
      </c>
      <c r="C9" s="6">
        <v>43591</v>
      </c>
      <c r="D9" s="7">
        <v>136</v>
      </c>
      <c r="E9" s="8" t="s">
        <v>60</v>
      </c>
      <c r="F9" s="7" t="s">
        <v>76</v>
      </c>
      <c r="G9" s="8" t="s">
        <v>77</v>
      </c>
      <c r="H9" s="7" t="str">
        <f>"000470"</f>
        <v>000470</v>
      </c>
      <c r="I9" s="6">
        <v>43497</v>
      </c>
      <c r="J9" s="7" t="str">
        <f>"000194"</f>
        <v>000194</v>
      </c>
      <c r="K9" s="6">
        <v>43552</v>
      </c>
      <c r="L9" s="7" t="str">
        <f>"000416"</f>
        <v>000416</v>
      </c>
      <c r="M9" s="6">
        <v>43553</v>
      </c>
      <c r="N9" s="7">
        <v>19</v>
      </c>
      <c r="O9" s="7" t="str">
        <f>"001335"</f>
        <v>001335</v>
      </c>
      <c r="P9" s="6">
        <v>43588</v>
      </c>
      <c r="Q9" s="9">
        <v>16.92839</v>
      </c>
      <c r="R9" s="9">
        <v>1.6172200000000001</v>
      </c>
      <c r="S9" s="9">
        <v>15.311170000000001</v>
      </c>
      <c r="T9" s="7">
        <v>35</v>
      </c>
      <c r="U9" s="6">
        <v>43591</v>
      </c>
      <c r="V9" s="7">
        <v>987654321</v>
      </c>
      <c r="W9" s="8" t="s">
        <v>78</v>
      </c>
      <c r="X9" s="7" t="s">
        <v>49</v>
      </c>
      <c r="Y9" s="8" t="s">
        <v>50</v>
      </c>
      <c r="Z9" s="7" t="s">
        <v>54</v>
      </c>
      <c r="AA9" s="8" t="s">
        <v>55</v>
      </c>
      <c r="AB9" s="9">
        <f t="shared" si="0"/>
        <v>0.16928390000000001</v>
      </c>
    </row>
    <row r="10" spans="1:28" x14ac:dyDescent="0.35">
      <c r="A10" s="4">
        <v>4323</v>
      </c>
      <c r="B10" s="5" t="s">
        <v>30</v>
      </c>
      <c r="C10" s="6">
        <v>43591</v>
      </c>
      <c r="D10" s="7">
        <v>136</v>
      </c>
      <c r="E10" s="8" t="s">
        <v>60</v>
      </c>
      <c r="F10" s="7" t="s">
        <v>79</v>
      </c>
      <c r="G10" s="8" t="s">
        <v>80</v>
      </c>
      <c r="H10" s="7" t="str">
        <f>"000469"</f>
        <v>000469</v>
      </c>
      <c r="I10" s="6">
        <v>43497</v>
      </c>
      <c r="J10" s="7" t="str">
        <f>"000186"</f>
        <v>000186</v>
      </c>
      <c r="K10" s="6">
        <v>43551</v>
      </c>
      <c r="L10" s="7" t="str">
        <f>"000420"</f>
        <v>000420</v>
      </c>
      <c r="M10" s="6">
        <v>43553</v>
      </c>
      <c r="N10" s="7">
        <v>19</v>
      </c>
      <c r="O10" s="7" t="str">
        <f>"001336"</f>
        <v>001336</v>
      </c>
      <c r="P10" s="6">
        <v>43588</v>
      </c>
      <c r="Q10" s="9">
        <v>22.677620000000001</v>
      </c>
      <c r="R10" s="9">
        <v>2.1664699999999999</v>
      </c>
      <c r="S10" s="9">
        <v>20.511150000000001</v>
      </c>
      <c r="T10" s="7">
        <v>35</v>
      </c>
      <c r="U10" s="6">
        <v>43591</v>
      </c>
      <c r="V10" s="7">
        <v>987654321</v>
      </c>
      <c r="W10" s="8" t="s">
        <v>78</v>
      </c>
      <c r="X10" s="7" t="s">
        <v>41</v>
      </c>
      <c r="Y10" s="8" t="s">
        <v>42</v>
      </c>
      <c r="Z10" s="7" t="s">
        <v>54</v>
      </c>
      <c r="AA10" s="8" t="s">
        <v>55</v>
      </c>
      <c r="AB10" s="9">
        <f t="shared" si="0"/>
        <v>0.22677620000000001</v>
      </c>
    </row>
    <row r="11" spans="1:28" x14ac:dyDescent="0.35">
      <c r="A11" s="4">
        <v>4324</v>
      </c>
      <c r="B11" s="5" t="s">
        <v>30</v>
      </c>
      <c r="C11" s="6">
        <v>43610</v>
      </c>
      <c r="D11" s="7">
        <v>136</v>
      </c>
      <c r="E11" s="8" t="s">
        <v>60</v>
      </c>
      <c r="F11" s="7" t="s">
        <v>81</v>
      </c>
      <c r="G11" s="8" t="s">
        <v>82</v>
      </c>
      <c r="H11" s="7" t="str">
        <f>"000451"</f>
        <v>000451</v>
      </c>
      <c r="I11" s="6">
        <v>43495</v>
      </c>
      <c r="J11" s="7" t="str">
        <f>"000002"</f>
        <v>000002</v>
      </c>
      <c r="K11" s="6">
        <v>43582</v>
      </c>
      <c r="L11" s="7" t="str">
        <f>"000038"</f>
        <v>000038</v>
      </c>
      <c r="M11" s="6">
        <v>43585</v>
      </c>
      <c r="N11" s="7">
        <v>19</v>
      </c>
      <c r="O11" s="7" t="str">
        <f>"001870"</f>
        <v>001870</v>
      </c>
      <c r="P11" s="6">
        <v>43606</v>
      </c>
      <c r="Q11" s="9">
        <v>5.5650199999999996</v>
      </c>
      <c r="R11" s="9">
        <v>0.22367999999999999</v>
      </c>
      <c r="S11" s="9">
        <v>5.3413399999999998</v>
      </c>
      <c r="T11" s="7">
        <v>58</v>
      </c>
      <c r="U11" s="6">
        <v>43610</v>
      </c>
      <c r="V11" s="7">
        <v>8317395607</v>
      </c>
      <c r="W11" s="8" t="s">
        <v>83</v>
      </c>
      <c r="X11" s="7" t="s">
        <v>43</v>
      </c>
      <c r="Y11" s="8" t="s">
        <v>44</v>
      </c>
      <c r="Z11" s="7" t="s">
        <v>54</v>
      </c>
      <c r="AA11" s="8" t="s">
        <v>55</v>
      </c>
      <c r="AB11" s="9">
        <f t="shared" si="0"/>
        <v>5.5650199999999997E-2</v>
      </c>
    </row>
    <row r="12" spans="1:28" x14ac:dyDescent="0.35">
      <c r="A12" s="4">
        <v>4325</v>
      </c>
      <c r="B12" s="5" t="s">
        <v>30</v>
      </c>
      <c r="C12" s="6">
        <v>43610</v>
      </c>
      <c r="D12" s="7">
        <v>136</v>
      </c>
      <c r="E12" s="8" t="s">
        <v>60</v>
      </c>
      <c r="F12" s="7" t="s">
        <v>84</v>
      </c>
      <c r="G12" s="8" t="s">
        <v>85</v>
      </c>
      <c r="H12" s="7" t="str">
        <f>"000465"</f>
        <v>000465</v>
      </c>
      <c r="I12" s="6">
        <v>43496</v>
      </c>
      <c r="J12" s="7" t="str">
        <f>"000006"</f>
        <v>000006</v>
      </c>
      <c r="K12" s="6">
        <v>43584</v>
      </c>
      <c r="L12" s="7" t="str">
        <f>"000039"</f>
        <v>000039</v>
      </c>
      <c r="M12" s="6">
        <v>43585</v>
      </c>
      <c r="N12" s="7">
        <v>19</v>
      </c>
      <c r="O12" s="7" t="str">
        <f>"001871"</f>
        <v>001871</v>
      </c>
      <c r="P12" s="6">
        <v>43606</v>
      </c>
      <c r="Q12" s="9">
        <v>22.65936</v>
      </c>
      <c r="R12" s="9">
        <v>0.95084999999999997</v>
      </c>
      <c r="S12" s="9">
        <v>21.70851</v>
      </c>
      <c r="T12" s="7">
        <v>58</v>
      </c>
      <c r="U12" s="6">
        <v>43610</v>
      </c>
      <c r="V12" s="7">
        <v>8317395607</v>
      </c>
      <c r="W12" s="8" t="s">
        <v>83</v>
      </c>
      <c r="X12" s="7" t="s">
        <v>58</v>
      </c>
      <c r="Y12" s="8" t="s">
        <v>59</v>
      </c>
      <c r="Z12" s="7" t="s">
        <v>54</v>
      </c>
      <c r="AA12" s="8" t="s">
        <v>55</v>
      </c>
      <c r="AB12" s="9">
        <f t="shared" si="0"/>
        <v>0.22659360000000001</v>
      </c>
    </row>
    <row r="13" spans="1:28" x14ac:dyDescent="0.35">
      <c r="A13" s="4">
        <v>4326</v>
      </c>
      <c r="B13" s="5" t="s">
        <v>30</v>
      </c>
      <c r="C13" s="6">
        <v>43610</v>
      </c>
      <c r="D13" s="7">
        <v>136</v>
      </c>
      <c r="E13" s="8" t="s">
        <v>60</v>
      </c>
      <c r="F13" s="7" t="s">
        <v>86</v>
      </c>
      <c r="G13" s="8" t="s">
        <v>87</v>
      </c>
      <c r="H13" s="7" t="str">
        <f>"000454"</f>
        <v>000454</v>
      </c>
      <c r="I13" s="6">
        <v>43495</v>
      </c>
      <c r="J13" s="7" t="str">
        <f>"000003"</f>
        <v>000003</v>
      </c>
      <c r="K13" s="6">
        <v>43582</v>
      </c>
      <c r="L13" s="7" t="str">
        <f>"000040"</f>
        <v>000040</v>
      </c>
      <c r="M13" s="6">
        <v>43585</v>
      </c>
      <c r="N13" s="7">
        <v>19</v>
      </c>
      <c r="O13" s="7" t="str">
        <f>"001872"</f>
        <v>001872</v>
      </c>
      <c r="P13" s="6">
        <v>43606</v>
      </c>
      <c r="Q13" s="9">
        <v>5.7196699999999998</v>
      </c>
      <c r="R13" s="9">
        <v>0.23998</v>
      </c>
      <c r="S13" s="9">
        <v>5.4796899999999997</v>
      </c>
      <c r="T13" s="7">
        <v>58</v>
      </c>
      <c r="U13" s="6">
        <v>43610</v>
      </c>
      <c r="V13" s="7">
        <v>8317395607</v>
      </c>
      <c r="W13" s="8" t="s">
        <v>88</v>
      </c>
      <c r="X13" s="7" t="s">
        <v>33</v>
      </c>
      <c r="Y13" s="8" t="s">
        <v>34</v>
      </c>
      <c r="Z13" s="7" t="s">
        <v>54</v>
      </c>
      <c r="AA13" s="8" t="s">
        <v>55</v>
      </c>
      <c r="AB13" s="9">
        <f t="shared" si="0"/>
        <v>5.7196699999999996E-2</v>
      </c>
    </row>
    <row r="14" spans="1:28" x14ac:dyDescent="0.35">
      <c r="A14" s="4">
        <v>4327</v>
      </c>
      <c r="B14" s="5" t="s">
        <v>30</v>
      </c>
      <c r="C14" s="6">
        <v>43610</v>
      </c>
      <c r="D14" s="7">
        <v>136</v>
      </c>
      <c r="E14" s="8" t="s">
        <v>60</v>
      </c>
      <c r="F14" s="7" t="s">
        <v>89</v>
      </c>
      <c r="G14" s="8" t="s">
        <v>90</v>
      </c>
      <c r="H14" s="7" t="str">
        <f>"000475"</f>
        <v>000475</v>
      </c>
      <c r="I14" s="6">
        <v>43498</v>
      </c>
      <c r="J14" s="7" t="str">
        <f>"000022"</f>
        <v>000022</v>
      </c>
      <c r="K14" s="6">
        <v>43585</v>
      </c>
      <c r="L14" s="7" t="str">
        <f>"000043"</f>
        <v>000043</v>
      </c>
      <c r="M14" s="6">
        <v>43585</v>
      </c>
      <c r="N14" s="7">
        <v>19</v>
      </c>
      <c r="O14" s="7" t="str">
        <f>"001873"</f>
        <v>001873</v>
      </c>
      <c r="P14" s="6">
        <v>43606</v>
      </c>
      <c r="Q14" s="9">
        <v>11.28753</v>
      </c>
      <c r="R14" s="9">
        <v>1.07833</v>
      </c>
      <c r="S14" s="9">
        <v>10.209199999999999</v>
      </c>
      <c r="T14" s="7">
        <v>58</v>
      </c>
      <c r="U14" s="6">
        <v>43610</v>
      </c>
      <c r="V14" s="7">
        <v>123456789</v>
      </c>
      <c r="W14" s="8" t="s">
        <v>91</v>
      </c>
      <c r="X14" s="7" t="s">
        <v>58</v>
      </c>
      <c r="Y14" s="8" t="s">
        <v>59</v>
      </c>
      <c r="Z14" s="7" t="s">
        <v>54</v>
      </c>
      <c r="AA14" s="8" t="s">
        <v>55</v>
      </c>
      <c r="AB14" s="9">
        <f t="shared" si="0"/>
        <v>0.1128753</v>
      </c>
    </row>
    <row r="15" spans="1:28" x14ac:dyDescent="0.35">
      <c r="A15" s="4">
        <v>4328</v>
      </c>
      <c r="B15" s="5" t="s">
        <v>29</v>
      </c>
      <c r="C15" s="6">
        <v>43622</v>
      </c>
      <c r="D15" s="7">
        <v>136</v>
      </c>
      <c r="E15" s="8" t="s">
        <v>60</v>
      </c>
      <c r="F15" s="7" t="s">
        <v>92</v>
      </c>
      <c r="G15" s="8" t="s">
        <v>93</v>
      </c>
      <c r="H15" s="7" t="str">
        <f>"000422"</f>
        <v>000422</v>
      </c>
      <c r="I15" s="6">
        <v>43479</v>
      </c>
      <c r="J15" s="7" t="str">
        <f>"000158"</f>
        <v>000158</v>
      </c>
      <c r="K15" s="6">
        <v>43512</v>
      </c>
      <c r="L15" s="7" t="str">
        <f>"000363"</f>
        <v>000363</v>
      </c>
      <c r="M15" s="6">
        <v>43514</v>
      </c>
      <c r="N15" s="7">
        <v>19</v>
      </c>
      <c r="O15" s="7" t="str">
        <f>"002302"</f>
        <v>002302</v>
      </c>
      <c r="P15" s="6">
        <v>43615</v>
      </c>
      <c r="Q15" s="9">
        <v>94.858369999999994</v>
      </c>
      <c r="R15" s="9">
        <v>3.47445</v>
      </c>
      <c r="S15" s="9">
        <v>91.383920000000003</v>
      </c>
      <c r="T15" s="7">
        <v>70</v>
      </c>
      <c r="U15" s="6">
        <v>43622</v>
      </c>
      <c r="V15" s="7">
        <v>9945533990</v>
      </c>
      <c r="W15" s="8" t="s">
        <v>56</v>
      </c>
      <c r="X15" s="7" t="s">
        <v>51</v>
      </c>
      <c r="Y15" s="8" t="s">
        <v>52</v>
      </c>
      <c r="Z15" s="7" t="s">
        <v>54</v>
      </c>
      <c r="AA15" s="8" t="s">
        <v>55</v>
      </c>
      <c r="AB15" s="9">
        <v>0.94858369999999992</v>
      </c>
    </row>
    <row r="16" spans="1:28" x14ac:dyDescent="0.35">
      <c r="A16" s="4">
        <v>4329</v>
      </c>
      <c r="B16" s="5" t="s">
        <v>29</v>
      </c>
      <c r="C16" s="6">
        <v>43622</v>
      </c>
      <c r="D16" s="7">
        <v>136</v>
      </c>
      <c r="E16" s="8" t="s">
        <v>60</v>
      </c>
      <c r="F16" s="7" t="s">
        <v>94</v>
      </c>
      <c r="G16" s="8" t="s">
        <v>95</v>
      </c>
      <c r="H16" s="7" t="str">
        <f>"000241"</f>
        <v>000241</v>
      </c>
      <c r="I16" s="6">
        <v>43385</v>
      </c>
      <c r="J16" s="7" t="str">
        <f>"000160"</f>
        <v>000160</v>
      </c>
      <c r="K16" s="6">
        <v>43512</v>
      </c>
      <c r="L16" s="7" t="str">
        <f>"000366"</f>
        <v>000366</v>
      </c>
      <c r="M16" s="6">
        <v>43514</v>
      </c>
      <c r="N16" s="7">
        <v>18</v>
      </c>
      <c r="O16" s="7" t="str">
        <f>"002303"</f>
        <v>002303</v>
      </c>
      <c r="P16" s="6">
        <v>43615</v>
      </c>
      <c r="Q16" s="9">
        <v>26.247</v>
      </c>
      <c r="R16" s="9">
        <v>1.01986</v>
      </c>
      <c r="S16" s="9">
        <v>25.227139999999999</v>
      </c>
      <c r="T16" s="7">
        <v>70</v>
      </c>
      <c r="U16" s="6">
        <v>43622</v>
      </c>
      <c r="V16" s="7">
        <v>9945533990</v>
      </c>
      <c r="W16" s="8" t="s">
        <v>56</v>
      </c>
      <c r="X16" s="7" t="s">
        <v>51</v>
      </c>
      <c r="Y16" s="8" t="s">
        <v>52</v>
      </c>
      <c r="Z16" s="7" t="s">
        <v>54</v>
      </c>
      <c r="AA16" s="8" t="s">
        <v>55</v>
      </c>
      <c r="AB16" s="9">
        <v>0.26246999999999998</v>
      </c>
    </row>
    <row r="17" spans="1:28" x14ac:dyDescent="0.35">
      <c r="A17" s="4">
        <v>4330</v>
      </c>
      <c r="B17" s="5" t="s">
        <v>29</v>
      </c>
      <c r="C17" s="6">
        <v>43623</v>
      </c>
      <c r="D17" s="7">
        <v>136</v>
      </c>
      <c r="E17" s="8" t="s">
        <v>60</v>
      </c>
      <c r="F17" s="7" t="s">
        <v>96</v>
      </c>
      <c r="G17" s="8" t="s">
        <v>97</v>
      </c>
      <c r="H17" s="7" t="str">
        <f>"000031"</f>
        <v>000031</v>
      </c>
      <c r="I17" s="6">
        <v>42943</v>
      </c>
      <c r="J17" s="7" t="str">
        <f>"000269"</f>
        <v>000269</v>
      </c>
      <c r="K17" s="6">
        <v>43549</v>
      </c>
      <c r="L17" s="7" t="str">
        <f>"000270"</f>
        <v>000270</v>
      </c>
      <c r="M17" s="6">
        <v>43549</v>
      </c>
      <c r="N17" s="7">
        <v>16</v>
      </c>
      <c r="O17" s="7" t="str">
        <f>"002321"</f>
        <v>002321</v>
      </c>
      <c r="P17" s="6">
        <v>43617</v>
      </c>
      <c r="Q17" s="9">
        <v>9.5525199999999995</v>
      </c>
      <c r="R17" s="9">
        <v>0.94671000000000005</v>
      </c>
      <c r="S17" s="9">
        <v>8.60581</v>
      </c>
      <c r="T17" s="7">
        <v>73</v>
      </c>
      <c r="U17" s="6">
        <v>43623</v>
      </c>
      <c r="V17" s="7">
        <v>9845273024</v>
      </c>
      <c r="W17" s="8" t="s">
        <v>98</v>
      </c>
      <c r="X17" s="7" t="s">
        <v>38</v>
      </c>
      <c r="Y17" s="8" t="s">
        <v>37</v>
      </c>
      <c r="Z17" s="7" t="s">
        <v>39</v>
      </c>
      <c r="AA17" s="8" t="s">
        <v>40</v>
      </c>
      <c r="AB17" s="9">
        <v>9.5525199999999991E-2</v>
      </c>
    </row>
    <row r="18" spans="1:28" x14ac:dyDescent="0.35">
      <c r="A18" s="4">
        <v>4331</v>
      </c>
      <c r="B18" s="5" t="s">
        <v>29</v>
      </c>
      <c r="C18" s="6">
        <v>43628</v>
      </c>
      <c r="D18" s="7">
        <v>136</v>
      </c>
      <c r="E18" s="8" t="s">
        <v>60</v>
      </c>
      <c r="F18" s="7" t="s">
        <v>99</v>
      </c>
      <c r="G18" s="8" t="s">
        <v>100</v>
      </c>
      <c r="H18" s="7" t="str">
        <f>"000427"</f>
        <v>000427</v>
      </c>
      <c r="I18" s="6">
        <v>43481</v>
      </c>
      <c r="J18" s="7" t="str">
        <f>"000190"</f>
        <v>000190</v>
      </c>
      <c r="K18" s="6">
        <v>43551</v>
      </c>
      <c r="L18" s="7" t="str">
        <f>"000418"</f>
        <v>000418</v>
      </c>
      <c r="M18" s="6">
        <v>43553</v>
      </c>
      <c r="N18" s="7">
        <v>19</v>
      </c>
      <c r="O18" s="7" t="str">
        <f>"002371"</f>
        <v>002371</v>
      </c>
      <c r="P18" s="6">
        <v>43619</v>
      </c>
      <c r="Q18" s="9">
        <v>94.652820000000006</v>
      </c>
      <c r="R18" s="9">
        <v>3.97201</v>
      </c>
      <c r="S18" s="9">
        <v>90.680809999999994</v>
      </c>
      <c r="T18" s="7">
        <v>77</v>
      </c>
      <c r="U18" s="6">
        <v>43628</v>
      </c>
      <c r="V18" s="7">
        <v>9945533990</v>
      </c>
      <c r="W18" s="8" t="s">
        <v>56</v>
      </c>
      <c r="X18" s="7" t="s">
        <v>51</v>
      </c>
      <c r="Y18" s="8" t="s">
        <v>52</v>
      </c>
      <c r="Z18" s="7" t="s">
        <v>54</v>
      </c>
      <c r="AA18" s="8" t="s">
        <v>55</v>
      </c>
      <c r="AB18" s="9">
        <v>0.94652820000000004</v>
      </c>
    </row>
    <row r="19" spans="1:28" x14ac:dyDescent="0.35">
      <c r="A19" s="4">
        <v>4332</v>
      </c>
      <c r="B19" s="5" t="s">
        <v>29</v>
      </c>
      <c r="C19" s="6">
        <v>43628</v>
      </c>
      <c r="D19" s="7">
        <v>136</v>
      </c>
      <c r="E19" s="8" t="s">
        <v>60</v>
      </c>
      <c r="F19" s="7" t="s">
        <v>101</v>
      </c>
      <c r="G19" s="8" t="s">
        <v>102</v>
      </c>
      <c r="H19" s="7" t="str">
        <f>"000421"</f>
        <v>000421</v>
      </c>
      <c r="I19" s="6">
        <v>43479</v>
      </c>
      <c r="J19" s="7" t="str">
        <f>"000180"</f>
        <v>000180</v>
      </c>
      <c r="K19" s="6">
        <v>43550</v>
      </c>
      <c r="L19" s="7" t="str">
        <f>"000421"</f>
        <v>000421</v>
      </c>
      <c r="M19" s="6">
        <v>43553</v>
      </c>
      <c r="N19" s="7">
        <v>19</v>
      </c>
      <c r="O19" s="7" t="str">
        <f>"002372"</f>
        <v>002372</v>
      </c>
      <c r="P19" s="6">
        <v>43619</v>
      </c>
      <c r="Q19" s="9">
        <v>58.52384</v>
      </c>
      <c r="R19" s="9">
        <v>2.4558399999999998</v>
      </c>
      <c r="S19" s="9">
        <v>56.067999999999998</v>
      </c>
      <c r="T19" s="7">
        <v>77</v>
      </c>
      <c r="U19" s="6">
        <v>43628</v>
      </c>
      <c r="V19" s="7">
        <v>9945533990</v>
      </c>
      <c r="W19" s="8" t="s">
        <v>56</v>
      </c>
      <c r="X19" s="7" t="s">
        <v>51</v>
      </c>
      <c r="Y19" s="8" t="s">
        <v>52</v>
      </c>
      <c r="Z19" s="7" t="s">
        <v>54</v>
      </c>
      <c r="AA19" s="8" t="s">
        <v>55</v>
      </c>
      <c r="AB19" s="9">
        <v>0.58523840000000005</v>
      </c>
    </row>
    <row r="20" spans="1:28" x14ac:dyDescent="0.35">
      <c r="A20" s="4">
        <v>4333</v>
      </c>
      <c r="B20" s="5" t="s">
        <v>29</v>
      </c>
      <c r="C20" s="6">
        <v>43634</v>
      </c>
      <c r="D20" s="7">
        <v>136</v>
      </c>
      <c r="E20" s="8" t="s">
        <v>60</v>
      </c>
      <c r="F20" s="7" t="s">
        <v>103</v>
      </c>
      <c r="G20" s="8" t="s">
        <v>104</v>
      </c>
      <c r="H20" s="7" t="str">
        <f>"000064"</f>
        <v>000064</v>
      </c>
      <c r="I20" s="6">
        <v>43098</v>
      </c>
      <c r="J20" s="7" t="str">
        <f>"000030"</f>
        <v>000030</v>
      </c>
      <c r="K20" s="6">
        <v>43099</v>
      </c>
      <c r="L20" s="7" t="str">
        <f>"000061"</f>
        <v>000061</v>
      </c>
      <c r="M20" s="6">
        <v>43099</v>
      </c>
      <c r="N20" s="7">
        <v>18</v>
      </c>
      <c r="O20" s="7" t="str">
        <f>"002652"</f>
        <v>002652</v>
      </c>
      <c r="P20" s="6">
        <v>43628</v>
      </c>
      <c r="Q20" s="9">
        <v>20.98038</v>
      </c>
      <c r="R20" s="9">
        <v>2.3707600000000002</v>
      </c>
      <c r="S20" s="9">
        <v>18.60962</v>
      </c>
      <c r="T20" s="7">
        <v>88</v>
      </c>
      <c r="U20" s="6">
        <v>43634</v>
      </c>
      <c r="V20" s="7">
        <v>9448670844</v>
      </c>
      <c r="W20" s="8" t="s">
        <v>88</v>
      </c>
      <c r="X20" s="7" t="s">
        <v>45</v>
      </c>
      <c r="Y20" s="8" t="s">
        <v>46</v>
      </c>
      <c r="Z20" s="7" t="s">
        <v>54</v>
      </c>
      <c r="AA20" s="8" t="s">
        <v>55</v>
      </c>
      <c r="AB20" s="9">
        <v>0.20980380000000001</v>
      </c>
    </row>
    <row r="21" spans="1:28" x14ac:dyDescent="0.35">
      <c r="A21" s="4">
        <v>4334</v>
      </c>
      <c r="B21" s="5" t="s">
        <v>29</v>
      </c>
      <c r="C21" s="6">
        <v>43634</v>
      </c>
      <c r="D21" s="7">
        <v>136</v>
      </c>
      <c r="E21" s="8" t="s">
        <v>60</v>
      </c>
      <c r="F21" s="7" t="s">
        <v>105</v>
      </c>
      <c r="G21" s="8" t="s">
        <v>106</v>
      </c>
      <c r="H21" s="7" t="str">
        <f>"000060"</f>
        <v>000060</v>
      </c>
      <c r="I21" s="6">
        <v>43098</v>
      </c>
      <c r="J21" s="7" t="str">
        <f>"000033"</f>
        <v>000033</v>
      </c>
      <c r="K21" s="6">
        <v>43099</v>
      </c>
      <c r="L21" s="7" t="str">
        <f>"000064"</f>
        <v>000064</v>
      </c>
      <c r="M21" s="6">
        <v>43099</v>
      </c>
      <c r="N21" s="7">
        <v>17</v>
      </c>
      <c r="O21" s="7" t="str">
        <f>"002653"</f>
        <v>002653</v>
      </c>
      <c r="P21" s="6">
        <v>43628</v>
      </c>
      <c r="Q21" s="9">
        <v>20.996040000000001</v>
      </c>
      <c r="R21" s="9">
        <v>2.3725399999999999</v>
      </c>
      <c r="S21" s="9">
        <v>18.6235</v>
      </c>
      <c r="T21" s="7">
        <v>88</v>
      </c>
      <c r="U21" s="6">
        <v>43634</v>
      </c>
      <c r="V21" s="7">
        <v>9448670844</v>
      </c>
      <c r="W21" s="8" t="s">
        <v>83</v>
      </c>
      <c r="X21" s="7" t="s">
        <v>47</v>
      </c>
      <c r="Y21" s="8" t="s">
        <v>48</v>
      </c>
      <c r="Z21" s="7" t="s">
        <v>54</v>
      </c>
      <c r="AA21" s="8" t="s">
        <v>55</v>
      </c>
      <c r="AB21" s="9">
        <v>0.20996040000000002</v>
      </c>
    </row>
    <row r="22" spans="1:28" x14ac:dyDescent="0.35">
      <c r="A22" s="4">
        <v>4335</v>
      </c>
      <c r="B22" s="5" t="s">
        <v>29</v>
      </c>
      <c r="C22" s="6">
        <v>43634</v>
      </c>
      <c r="D22" s="7">
        <v>136</v>
      </c>
      <c r="E22" s="8" t="s">
        <v>60</v>
      </c>
      <c r="F22" s="7" t="s">
        <v>107</v>
      </c>
      <c r="G22" s="8" t="s">
        <v>108</v>
      </c>
      <c r="H22" s="7" t="str">
        <f>"000063"</f>
        <v>000063</v>
      </c>
      <c r="I22" s="6">
        <v>43098</v>
      </c>
      <c r="J22" s="7" t="str">
        <f>"000032"</f>
        <v>000032</v>
      </c>
      <c r="K22" s="6">
        <v>43099</v>
      </c>
      <c r="L22" s="7" t="str">
        <f>"000065"</f>
        <v>000065</v>
      </c>
      <c r="M22" s="6">
        <v>43099</v>
      </c>
      <c r="N22" s="7">
        <v>17</v>
      </c>
      <c r="O22" s="7" t="str">
        <f>"002654"</f>
        <v>002654</v>
      </c>
      <c r="P22" s="6">
        <v>43628</v>
      </c>
      <c r="Q22" s="9">
        <v>10.49672</v>
      </c>
      <c r="R22" s="9">
        <v>1.08111</v>
      </c>
      <c r="S22" s="9">
        <v>9.4156099999999991</v>
      </c>
      <c r="T22" s="7">
        <v>88</v>
      </c>
      <c r="U22" s="6">
        <v>43634</v>
      </c>
      <c r="V22" s="7">
        <v>9448670844</v>
      </c>
      <c r="W22" s="8" t="s">
        <v>83</v>
      </c>
      <c r="X22" s="7" t="s">
        <v>47</v>
      </c>
      <c r="Y22" s="8" t="s">
        <v>48</v>
      </c>
      <c r="Z22" s="7" t="s">
        <v>54</v>
      </c>
      <c r="AA22" s="8" t="s">
        <v>55</v>
      </c>
      <c r="AB22" s="9">
        <v>0.1049672</v>
      </c>
    </row>
    <row r="23" spans="1:28" x14ac:dyDescent="0.35">
      <c r="A23" s="4">
        <v>4336</v>
      </c>
      <c r="B23" s="5" t="s">
        <v>29</v>
      </c>
      <c r="C23" s="6">
        <v>43634</v>
      </c>
      <c r="D23" s="7">
        <v>136</v>
      </c>
      <c r="E23" s="8" t="s">
        <v>60</v>
      </c>
      <c r="F23" s="7" t="s">
        <v>109</v>
      </c>
      <c r="G23" s="8" t="s">
        <v>110</v>
      </c>
      <c r="H23" s="7" t="str">
        <f>"000061"</f>
        <v>000061</v>
      </c>
      <c r="I23" s="6">
        <v>43098</v>
      </c>
      <c r="J23" s="7" t="str">
        <f>"000031"</f>
        <v>000031</v>
      </c>
      <c r="K23" s="6">
        <v>43099</v>
      </c>
      <c r="L23" s="7" t="str">
        <f>"000066"</f>
        <v>000066</v>
      </c>
      <c r="M23" s="6">
        <v>43099</v>
      </c>
      <c r="N23" s="7">
        <v>17</v>
      </c>
      <c r="O23" s="7" t="str">
        <f>"002655"</f>
        <v>002655</v>
      </c>
      <c r="P23" s="6">
        <v>43628</v>
      </c>
      <c r="Q23" s="9">
        <v>20.992010000000001</v>
      </c>
      <c r="R23" s="9">
        <v>2.37209</v>
      </c>
      <c r="S23" s="9">
        <v>18.61992</v>
      </c>
      <c r="T23" s="7">
        <v>88</v>
      </c>
      <c r="U23" s="6">
        <v>43634</v>
      </c>
      <c r="V23" s="7">
        <v>9448670844</v>
      </c>
      <c r="W23" s="8" t="s">
        <v>88</v>
      </c>
      <c r="X23" s="7" t="s">
        <v>47</v>
      </c>
      <c r="Y23" s="8" t="s">
        <v>48</v>
      </c>
      <c r="Z23" s="7" t="s">
        <v>54</v>
      </c>
      <c r="AA23" s="8" t="s">
        <v>55</v>
      </c>
      <c r="AB23" s="9">
        <v>0.2099201</v>
      </c>
    </row>
    <row r="24" spans="1:28" x14ac:dyDescent="0.35">
      <c r="A24" s="4">
        <v>4337</v>
      </c>
      <c r="B24" s="5" t="s">
        <v>29</v>
      </c>
      <c r="C24" s="6">
        <v>43634</v>
      </c>
      <c r="D24" s="7">
        <v>136</v>
      </c>
      <c r="E24" s="8" t="s">
        <v>60</v>
      </c>
      <c r="F24" s="7" t="s">
        <v>111</v>
      </c>
      <c r="G24" s="8" t="s">
        <v>112</v>
      </c>
      <c r="H24" s="7" t="str">
        <f>"000074"</f>
        <v>000074</v>
      </c>
      <c r="I24" s="6">
        <v>43099</v>
      </c>
      <c r="J24" s="7" t="str">
        <f>"000039"</f>
        <v>000039</v>
      </c>
      <c r="K24" s="6">
        <v>43099</v>
      </c>
      <c r="L24" s="7" t="str">
        <f>"000067"</f>
        <v>000067</v>
      </c>
      <c r="M24" s="6">
        <v>43099</v>
      </c>
      <c r="N24" s="7">
        <v>17</v>
      </c>
      <c r="O24" s="7" t="str">
        <f>"002656"</f>
        <v>002656</v>
      </c>
      <c r="P24" s="6">
        <v>43628</v>
      </c>
      <c r="Q24" s="9">
        <v>26.243580000000001</v>
      </c>
      <c r="R24" s="9">
        <v>2.96549</v>
      </c>
      <c r="S24" s="9">
        <v>23.278089999999999</v>
      </c>
      <c r="T24" s="7">
        <v>88</v>
      </c>
      <c r="U24" s="6">
        <v>43634</v>
      </c>
      <c r="V24" s="7">
        <v>9945533990</v>
      </c>
      <c r="W24" s="8" t="s">
        <v>57</v>
      </c>
      <c r="X24" s="7" t="s">
        <v>47</v>
      </c>
      <c r="Y24" s="8" t="s">
        <v>48</v>
      </c>
      <c r="Z24" s="7" t="s">
        <v>54</v>
      </c>
      <c r="AA24" s="8" t="s">
        <v>55</v>
      </c>
      <c r="AB24" s="9">
        <v>0.2624358</v>
      </c>
    </row>
    <row r="25" spans="1:28" x14ac:dyDescent="0.35">
      <c r="A25" s="4">
        <v>4338</v>
      </c>
      <c r="B25" s="5" t="s">
        <v>113</v>
      </c>
      <c r="C25" s="6">
        <v>43647</v>
      </c>
      <c r="D25" s="7">
        <v>136</v>
      </c>
      <c r="E25" s="8" t="s">
        <v>60</v>
      </c>
      <c r="F25" s="7" t="s">
        <v>114</v>
      </c>
      <c r="G25" s="10" t="s">
        <v>115</v>
      </c>
      <c r="H25" s="7" t="str">
        <f>"000227"</f>
        <v>000227</v>
      </c>
      <c r="I25" s="6">
        <v>43155</v>
      </c>
      <c r="J25" s="7" t="str">
        <f>"000081"</f>
        <v>000081</v>
      </c>
      <c r="K25" s="6">
        <v>43155</v>
      </c>
      <c r="L25" s="7" t="str">
        <f>"000219"</f>
        <v>000219</v>
      </c>
      <c r="M25" s="6">
        <v>43155</v>
      </c>
      <c r="N25" s="7">
        <v>17</v>
      </c>
      <c r="O25" s="7" t="str">
        <f>"002979"</f>
        <v>002979</v>
      </c>
      <c r="P25" s="6">
        <v>43640</v>
      </c>
      <c r="Q25" s="11">
        <v>12.584759999999999</v>
      </c>
      <c r="R25" s="11">
        <v>0.89349000000000001</v>
      </c>
      <c r="S25" s="11">
        <v>11.691269999999999</v>
      </c>
      <c r="T25" s="7">
        <v>100</v>
      </c>
      <c r="U25" s="6">
        <v>43647</v>
      </c>
      <c r="V25" s="7">
        <v>9945533990</v>
      </c>
      <c r="W25" s="10" t="s">
        <v>57</v>
      </c>
      <c r="X25" s="7" t="s">
        <v>116</v>
      </c>
      <c r="Y25" s="10" t="s">
        <v>117</v>
      </c>
      <c r="Z25" s="7" t="s">
        <v>54</v>
      </c>
      <c r="AA25" s="10" t="s">
        <v>55</v>
      </c>
      <c r="AB25" s="11">
        <f t="shared" ref="AB25:AB37" si="1">Q25/100</f>
        <v>0.1258476</v>
      </c>
    </row>
    <row r="26" spans="1:28" x14ac:dyDescent="0.35">
      <c r="A26" s="4">
        <v>4339</v>
      </c>
      <c r="B26" s="5" t="s">
        <v>113</v>
      </c>
      <c r="C26" s="6">
        <v>43654</v>
      </c>
      <c r="D26" s="7">
        <v>136</v>
      </c>
      <c r="E26" s="8" t="s">
        <v>60</v>
      </c>
      <c r="F26" s="7" t="s">
        <v>118</v>
      </c>
      <c r="G26" s="10" t="s">
        <v>119</v>
      </c>
      <c r="H26" s="7" t="str">
        <f>"000145"</f>
        <v>000145</v>
      </c>
      <c r="I26" s="6">
        <v>43131</v>
      </c>
      <c r="J26" s="7" t="str">
        <f>"000062"</f>
        <v>000062</v>
      </c>
      <c r="K26" s="6">
        <v>43131</v>
      </c>
      <c r="L26" s="7" t="str">
        <f>"000137"</f>
        <v>000137</v>
      </c>
      <c r="M26" s="6">
        <v>43131</v>
      </c>
      <c r="N26" s="7">
        <v>17</v>
      </c>
      <c r="O26" s="7" t="str">
        <f>"003318"</f>
        <v>003318</v>
      </c>
      <c r="P26" s="6">
        <v>43650</v>
      </c>
      <c r="Q26" s="11">
        <v>20.990390000000001</v>
      </c>
      <c r="R26" s="11">
        <v>2.2459500000000001</v>
      </c>
      <c r="S26" s="11">
        <v>18.744440000000001</v>
      </c>
      <c r="T26" s="7">
        <v>108</v>
      </c>
      <c r="U26" s="6">
        <v>43654</v>
      </c>
      <c r="V26" s="7">
        <v>9945533990</v>
      </c>
      <c r="W26" s="10" t="s">
        <v>120</v>
      </c>
      <c r="X26" s="7" t="s">
        <v>47</v>
      </c>
      <c r="Y26" s="10" t="s">
        <v>48</v>
      </c>
      <c r="Z26" s="7" t="s">
        <v>54</v>
      </c>
      <c r="AA26" s="10" t="s">
        <v>55</v>
      </c>
      <c r="AB26" s="11">
        <f t="shared" si="1"/>
        <v>0.2099039</v>
      </c>
    </row>
    <row r="27" spans="1:28" x14ac:dyDescent="0.35">
      <c r="A27" s="4">
        <v>4340</v>
      </c>
      <c r="B27" s="5" t="s">
        <v>113</v>
      </c>
      <c r="C27" s="6">
        <v>43654</v>
      </c>
      <c r="D27" s="7">
        <v>136</v>
      </c>
      <c r="E27" s="8" t="s">
        <v>60</v>
      </c>
      <c r="F27" s="7" t="s">
        <v>121</v>
      </c>
      <c r="G27" s="10" t="s">
        <v>122</v>
      </c>
      <c r="H27" s="7" t="str">
        <f>"000147"</f>
        <v>000147</v>
      </c>
      <c r="I27" s="6">
        <v>43131</v>
      </c>
      <c r="J27" s="7" t="str">
        <f>"000059"</f>
        <v>000059</v>
      </c>
      <c r="K27" s="6">
        <v>43131</v>
      </c>
      <c r="L27" s="7" t="str">
        <f>"000138"</f>
        <v>000138</v>
      </c>
      <c r="M27" s="6">
        <v>43131</v>
      </c>
      <c r="N27" s="7">
        <v>17</v>
      </c>
      <c r="O27" s="7" t="str">
        <f>"003319"</f>
        <v>003319</v>
      </c>
      <c r="P27" s="6">
        <v>43650</v>
      </c>
      <c r="Q27" s="11">
        <v>20.877839999999999</v>
      </c>
      <c r="R27" s="11">
        <v>2.2338800000000001</v>
      </c>
      <c r="S27" s="11">
        <v>18.64396</v>
      </c>
      <c r="T27" s="7">
        <v>108</v>
      </c>
      <c r="U27" s="6">
        <v>43654</v>
      </c>
      <c r="V27" s="7">
        <v>9945533990</v>
      </c>
      <c r="W27" s="10" t="s">
        <v>57</v>
      </c>
      <c r="X27" s="7" t="s">
        <v>47</v>
      </c>
      <c r="Y27" s="10" t="s">
        <v>48</v>
      </c>
      <c r="Z27" s="7" t="s">
        <v>54</v>
      </c>
      <c r="AA27" s="10" t="s">
        <v>55</v>
      </c>
      <c r="AB27" s="11">
        <f t="shared" si="1"/>
        <v>0.2087784</v>
      </c>
    </row>
    <row r="28" spans="1:28" x14ac:dyDescent="0.35">
      <c r="A28" s="4">
        <v>4341</v>
      </c>
      <c r="B28" s="5" t="s">
        <v>113</v>
      </c>
      <c r="C28" s="6">
        <v>43668</v>
      </c>
      <c r="D28" s="7">
        <v>136</v>
      </c>
      <c r="E28" s="8" t="s">
        <v>60</v>
      </c>
      <c r="F28" s="7" t="s">
        <v>123</v>
      </c>
      <c r="G28" s="10" t="s">
        <v>124</v>
      </c>
      <c r="H28" s="7" t="str">
        <f>"000541"</f>
        <v>000541</v>
      </c>
      <c r="I28" s="6">
        <v>43526</v>
      </c>
      <c r="J28" s="7" t="str">
        <f>"000039"</f>
        <v>000039</v>
      </c>
      <c r="K28" s="6">
        <v>43614</v>
      </c>
      <c r="L28" s="7" t="str">
        <f>"000071"</f>
        <v>000071</v>
      </c>
      <c r="M28" s="6">
        <v>43616</v>
      </c>
      <c r="N28" s="7">
        <v>19</v>
      </c>
      <c r="O28" s="7" t="str">
        <f>"003385"</f>
        <v>003385</v>
      </c>
      <c r="P28" s="6">
        <v>43657</v>
      </c>
      <c r="Q28" s="11">
        <v>19.50956</v>
      </c>
      <c r="R28" s="11">
        <v>2.1237300000000001</v>
      </c>
      <c r="S28" s="11">
        <v>17.385829999999999</v>
      </c>
      <c r="T28" s="7">
        <v>119</v>
      </c>
      <c r="U28" s="6">
        <v>43668</v>
      </c>
      <c r="V28" s="7">
        <v>1234567890</v>
      </c>
      <c r="W28" s="10" t="s">
        <v>125</v>
      </c>
      <c r="X28" s="7" t="s">
        <v>126</v>
      </c>
      <c r="Y28" s="10" t="s">
        <v>127</v>
      </c>
      <c r="Z28" s="7" t="s">
        <v>54</v>
      </c>
      <c r="AA28" s="10" t="s">
        <v>55</v>
      </c>
      <c r="AB28" s="11">
        <f t="shared" si="1"/>
        <v>0.19509560000000001</v>
      </c>
    </row>
    <row r="29" spans="1:28" x14ac:dyDescent="0.35">
      <c r="A29" s="4">
        <v>4342</v>
      </c>
      <c r="B29" s="5" t="s">
        <v>113</v>
      </c>
      <c r="C29" s="6">
        <v>43668</v>
      </c>
      <c r="D29" s="7">
        <v>136</v>
      </c>
      <c r="E29" s="8" t="s">
        <v>60</v>
      </c>
      <c r="F29" s="7" t="s">
        <v>128</v>
      </c>
      <c r="G29" s="10" t="s">
        <v>129</v>
      </c>
      <c r="H29" s="7" t="str">
        <f>"000537"</f>
        <v>000537</v>
      </c>
      <c r="I29" s="6">
        <v>43526</v>
      </c>
      <c r="J29" s="7" t="str">
        <f>"000038"</f>
        <v>000038</v>
      </c>
      <c r="K29" s="6">
        <v>43614</v>
      </c>
      <c r="L29" s="7" t="str">
        <f>"000070"</f>
        <v>000070</v>
      </c>
      <c r="M29" s="6">
        <v>43616</v>
      </c>
      <c r="N29" s="7">
        <v>19</v>
      </c>
      <c r="O29" s="7" t="str">
        <f>"003386"</f>
        <v>003386</v>
      </c>
      <c r="P29" s="6">
        <v>43657</v>
      </c>
      <c r="Q29" s="11">
        <v>9.7340400000000002</v>
      </c>
      <c r="R29" s="11">
        <v>1.0596099999999999</v>
      </c>
      <c r="S29" s="11">
        <v>8.6744299999999992</v>
      </c>
      <c r="T29" s="7">
        <v>119</v>
      </c>
      <c r="U29" s="6">
        <v>43668</v>
      </c>
      <c r="V29" s="7">
        <v>1234567890</v>
      </c>
      <c r="W29" s="10" t="s">
        <v>125</v>
      </c>
      <c r="X29" s="7" t="s">
        <v>126</v>
      </c>
      <c r="Y29" s="10" t="s">
        <v>127</v>
      </c>
      <c r="Z29" s="7" t="s">
        <v>54</v>
      </c>
      <c r="AA29" s="10" t="s">
        <v>55</v>
      </c>
      <c r="AB29" s="11">
        <f t="shared" si="1"/>
        <v>9.7340400000000007E-2</v>
      </c>
    </row>
    <row r="30" spans="1:28" x14ac:dyDescent="0.35">
      <c r="A30" s="4">
        <v>4343</v>
      </c>
      <c r="B30" s="5" t="s">
        <v>113</v>
      </c>
      <c r="C30" s="6">
        <v>43677</v>
      </c>
      <c r="D30" s="7">
        <v>136</v>
      </c>
      <c r="E30" s="8" t="s">
        <v>60</v>
      </c>
      <c r="F30" s="7" t="s">
        <v>130</v>
      </c>
      <c r="G30" s="10" t="s">
        <v>131</v>
      </c>
      <c r="H30" s="7" t="str">
        <f>"000008"</f>
        <v>000008</v>
      </c>
      <c r="I30" s="6">
        <v>42947</v>
      </c>
      <c r="J30" s="7" t="str">
        <f>"000055"</f>
        <v>000055</v>
      </c>
      <c r="K30" s="6">
        <v>43308</v>
      </c>
      <c r="L30" s="7" t="str">
        <f>"000054"</f>
        <v>000054</v>
      </c>
      <c r="M30" s="6">
        <v>43308</v>
      </c>
      <c r="N30" s="7">
        <v>16</v>
      </c>
      <c r="O30" s="7" t="str">
        <f>"004088"</f>
        <v>004088</v>
      </c>
      <c r="P30" s="6">
        <v>43672</v>
      </c>
      <c r="Q30" s="11">
        <v>5.8587699999999998</v>
      </c>
      <c r="R30" s="11">
        <v>0.33165</v>
      </c>
      <c r="S30" s="11">
        <v>5.52712</v>
      </c>
      <c r="T30" s="7">
        <v>136</v>
      </c>
      <c r="U30" s="6">
        <v>43677</v>
      </c>
      <c r="V30" s="7">
        <v>9845351993</v>
      </c>
      <c r="W30" s="10" t="s">
        <v>132</v>
      </c>
      <c r="X30" s="7" t="s">
        <v>133</v>
      </c>
      <c r="Y30" s="10" t="s">
        <v>134</v>
      </c>
      <c r="Z30" s="7" t="s">
        <v>39</v>
      </c>
      <c r="AA30" s="10" t="s">
        <v>40</v>
      </c>
      <c r="AB30" s="11">
        <f t="shared" si="1"/>
        <v>5.85877E-2</v>
      </c>
    </row>
    <row r="31" spans="1:28" x14ac:dyDescent="0.35">
      <c r="A31" s="4">
        <v>4344</v>
      </c>
      <c r="B31" s="5" t="s">
        <v>135</v>
      </c>
      <c r="C31" s="6">
        <v>43704</v>
      </c>
      <c r="D31" s="7">
        <v>136</v>
      </c>
      <c r="E31" s="8" t="s">
        <v>60</v>
      </c>
      <c r="F31" s="7" t="s">
        <v>136</v>
      </c>
      <c r="G31" s="10" t="s">
        <v>137</v>
      </c>
      <c r="H31" s="7" t="str">
        <f>"000266"</f>
        <v>000266</v>
      </c>
      <c r="I31" s="6">
        <v>43188</v>
      </c>
      <c r="J31" s="7" t="str">
        <f>"000094"</f>
        <v>000094</v>
      </c>
      <c r="K31" s="6">
        <v>43188</v>
      </c>
      <c r="L31" s="7" t="str">
        <f>"000258"</f>
        <v>000258</v>
      </c>
      <c r="M31" s="6">
        <v>43188</v>
      </c>
      <c r="N31" s="7">
        <v>18</v>
      </c>
      <c r="O31" s="7" t="str">
        <f>"004534"</f>
        <v>004534</v>
      </c>
      <c r="P31" s="6">
        <v>43693</v>
      </c>
      <c r="Q31" s="11">
        <v>20.891020000000001</v>
      </c>
      <c r="R31" s="11">
        <v>2.2144400000000002</v>
      </c>
      <c r="S31" s="11">
        <v>18.676580000000001</v>
      </c>
      <c r="T31" s="7">
        <v>166</v>
      </c>
      <c r="U31" s="6">
        <v>43704</v>
      </c>
      <c r="V31" s="7">
        <v>8317395607</v>
      </c>
      <c r="W31" s="10" t="s">
        <v>83</v>
      </c>
      <c r="X31" s="7" t="s">
        <v>45</v>
      </c>
      <c r="Y31" s="10" t="s">
        <v>46</v>
      </c>
      <c r="Z31" s="7" t="s">
        <v>54</v>
      </c>
      <c r="AA31" s="10" t="s">
        <v>55</v>
      </c>
      <c r="AB31" s="11">
        <f t="shared" si="1"/>
        <v>0.20891020000000002</v>
      </c>
    </row>
    <row r="32" spans="1:28" x14ac:dyDescent="0.35">
      <c r="A32" s="4">
        <v>4345</v>
      </c>
      <c r="B32" s="5" t="s">
        <v>135</v>
      </c>
      <c r="C32" s="6">
        <v>43707</v>
      </c>
      <c r="D32" s="7">
        <v>136</v>
      </c>
      <c r="E32" s="8" t="s">
        <v>60</v>
      </c>
      <c r="F32" s="7" t="s">
        <v>138</v>
      </c>
      <c r="G32" s="10" t="s">
        <v>139</v>
      </c>
      <c r="H32" s="7" t="str">
        <f>"000280"</f>
        <v>000280</v>
      </c>
      <c r="I32" s="6">
        <v>43189</v>
      </c>
      <c r="J32" s="7" t="str">
        <f>"000108"</f>
        <v>000108</v>
      </c>
      <c r="K32" s="6">
        <v>43190</v>
      </c>
      <c r="L32" s="7" t="str">
        <f>"000269"</f>
        <v>000269</v>
      </c>
      <c r="M32" s="6">
        <v>43190</v>
      </c>
      <c r="N32" s="7">
        <v>17</v>
      </c>
      <c r="O32" s="7" t="str">
        <f>"004684"</f>
        <v>004684</v>
      </c>
      <c r="P32" s="6">
        <v>43698</v>
      </c>
      <c r="Q32" s="11">
        <v>20.995059999999999</v>
      </c>
      <c r="R32" s="11">
        <v>2.2464599999999999</v>
      </c>
      <c r="S32" s="11">
        <v>18.7486</v>
      </c>
      <c r="T32" s="7">
        <v>173</v>
      </c>
      <c r="U32" s="6">
        <v>43707</v>
      </c>
      <c r="V32" s="7">
        <v>9945533990</v>
      </c>
      <c r="W32" s="10" t="s">
        <v>57</v>
      </c>
      <c r="X32" s="7" t="s">
        <v>47</v>
      </c>
      <c r="Y32" s="10" t="s">
        <v>48</v>
      </c>
      <c r="Z32" s="7" t="s">
        <v>54</v>
      </c>
      <c r="AA32" s="10" t="s">
        <v>55</v>
      </c>
      <c r="AB32" s="11">
        <f t="shared" si="1"/>
        <v>0.20995059999999999</v>
      </c>
    </row>
    <row r="33" spans="1:28" x14ac:dyDescent="0.35">
      <c r="A33" s="4">
        <v>4346</v>
      </c>
      <c r="B33" s="5" t="s">
        <v>135</v>
      </c>
      <c r="C33" s="6">
        <v>43707</v>
      </c>
      <c r="D33" s="7">
        <v>136</v>
      </c>
      <c r="E33" s="8" t="s">
        <v>60</v>
      </c>
      <c r="F33" s="7" t="s">
        <v>140</v>
      </c>
      <c r="G33" s="10" t="s">
        <v>141</v>
      </c>
      <c r="H33" s="7" t="str">
        <f>"000277"</f>
        <v>000277</v>
      </c>
      <c r="I33" s="6">
        <v>43189</v>
      </c>
      <c r="J33" s="7" t="str">
        <f>"000107"</f>
        <v>000107</v>
      </c>
      <c r="K33" s="6">
        <v>43190</v>
      </c>
      <c r="L33" s="7" t="str">
        <f>"000270"</f>
        <v>000270</v>
      </c>
      <c r="M33" s="6">
        <v>43190</v>
      </c>
      <c r="N33" s="7">
        <v>18</v>
      </c>
      <c r="O33" s="7" t="str">
        <f>"004686"</f>
        <v>004686</v>
      </c>
      <c r="P33" s="6">
        <v>43698</v>
      </c>
      <c r="Q33" s="11">
        <v>20.993300000000001</v>
      </c>
      <c r="R33" s="11">
        <v>2.2462499999999999</v>
      </c>
      <c r="S33" s="11">
        <v>18.747050000000002</v>
      </c>
      <c r="T33" s="7">
        <v>173</v>
      </c>
      <c r="U33" s="6">
        <v>43707</v>
      </c>
      <c r="V33" s="7">
        <v>9945533990</v>
      </c>
      <c r="W33" s="10" t="s">
        <v>57</v>
      </c>
      <c r="X33" s="7" t="s">
        <v>45</v>
      </c>
      <c r="Y33" s="10" t="s">
        <v>46</v>
      </c>
      <c r="Z33" s="7" t="s">
        <v>54</v>
      </c>
      <c r="AA33" s="10" t="s">
        <v>55</v>
      </c>
      <c r="AB33" s="11">
        <f t="shared" si="1"/>
        <v>0.20993300000000001</v>
      </c>
    </row>
    <row r="34" spans="1:28" x14ac:dyDescent="0.35">
      <c r="A34" s="4">
        <v>4347</v>
      </c>
      <c r="B34" s="5" t="s">
        <v>135</v>
      </c>
      <c r="C34" s="6">
        <v>43707</v>
      </c>
      <c r="D34" s="7">
        <v>136</v>
      </c>
      <c r="E34" s="8" t="s">
        <v>60</v>
      </c>
      <c r="F34" s="7" t="s">
        <v>142</v>
      </c>
      <c r="G34" s="10" t="s">
        <v>143</v>
      </c>
      <c r="H34" s="7" t="str">
        <f>"000279"</f>
        <v>000279</v>
      </c>
      <c r="I34" s="6">
        <v>43189</v>
      </c>
      <c r="J34" s="7" t="str">
        <f>"000105"</f>
        <v>000105</v>
      </c>
      <c r="K34" s="6">
        <v>43190</v>
      </c>
      <c r="L34" s="7" t="str">
        <f>"000271"</f>
        <v>000271</v>
      </c>
      <c r="M34" s="6">
        <v>43190</v>
      </c>
      <c r="N34" s="7">
        <v>17</v>
      </c>
      <c r="O34" s="7" t="str">
        <f>"004688"</f>
        <v>004688</v>
      </c>
      <c r="P34" s="6">
        <v>43698</v>
      </c>
      <c r="Q34" s="11">
        <v>20.98319</v>
      </c>
      <c r="R34" s="11">
        <v>2.24518</v>
      </c>
      <c r="S34" s="11">
        <v>18.738009999999999</v>
      </c>
      <c r="T34" s="7">
        <v>173</v>
      </c>
      <c r="U34" s="6">
        <v>43707</v>
      </c>
      <c r="V34" s="7">
        <v>9945533990</v>
      </c>
      <c r="W34" s="10" t="s">
        <v>57</v>
      </c>
      <c r="X34" s="7" t="s">
        <v>47</v>
      </c>
      <c r="Y34" s="10" t="s">
        <v>48</v>
      </c>
      <c r="Z34" s="7" t="s">
        <v>54</v>
      </c>
      <c r="AA34" s="10" t="s">
        <v>55</v>
      </c>
      <c r="AB34" s="11">
        <f t="shared" si="1"/>
        <v>0.20983190000000002</v>
      </c>
    </row>
    <row r="35" spans="1:28" x14ac:dyDescent="0.35">
      <c r="A35" s="4">
        <v>4348</v>
      </c>
      <c r="B35" s="5" t="s">
        <v>135</v>
      </c>
      <c r="C35" s="6">
        <v>43707</v>
      </c>
      <c r="D35" s="7">
        <v>136</v>
      </c>
      <c r="E35" s="8" t="s">
        <v>60</v>
      </c>
      <c r="F35" s="7" t="s">
        <v>144</v>
      </c>
      <c r="G35" s="10" t="s">
        <v>145</v>
      </c>
      <c r="H35" s="7" t="str">
        <f>"000278"</f>
        <v>000278</v>
      </c>
      <c r="I35" s="6">
        <v>43189</v>
      </c>
      <c r="J35" s="7" t="str">
        <f>"000109"</f>
        <v>000109</v>
      </c>
      <c r="K35" s="6">
        <v>43190</v>
      </c>
      <c r="L35" s="7" t="str">
        <f>"000272"</f>
        <v>000272</v>
      </c>
      <c r="M35" s="6">
        <v>43190</v>
      </c>
      <c r="N35" s="7">
        <v>18</v>
      </c>
      <c r="O35" s="7" t="str">
        <f>"004689"</f>
        <v>004689</v>
      </c>
      <c r="P35" s="6">
        <v>43698</v>
      </c>
      <c r="Q35" s="11">
        <v>15.7341</v>
      </c>
      <c r="R35" s="11">
        <v>1.68353</v>
      </c>
      <c r="S35" s="11">
        <v>14.05057</v>
      </c>
      <c r="T35" s="7">
        <v>173</v>
      </c>
      <c r="U35" s="6">
        <v>43707</v>
      </c>
      <c r="V35" s="7">
        <v>9945533990</v>
      </c>
      <c r="W35" s="10" t="s">
        <v>57</v>
      </c>
      <c r="X35" s="7" t="s">
        <v>45</v>
      </c>
      <c r="Y35" s="10" t="s">
        <v>46</v>
      </c>
      <c r="Z35" s="7" t="s">
        <v>54</v>
      </c>
      <c r="AA35" s="10" t="s">
        <v>55</v>
      </c>
      <c r="AB35" s="11">
        <f t="shared" si="1"/>
        <v>0.15734100000000001</v>
      </c>
    </row>
    <row r="36" spans="1:28" x14ac:dyDescent="0.35">
      <c r="A36" s="4">
        <v>4349</v>
      </c>
      <c r="B36" s="5" t="s">
        <v>146</v>
      </c>
      <c r="C36" s="6">
        <v>43731</v>
      </c>
      <c r="D36" s="7">
        <v>136</v>
      </c>
      <c r="E36" s="8" t="s">
        <v>60</v>
      </c>
      <c r="F36" s="7" t="s">
        <v>147</v>
      </c>
      <c r="G36" s="10" t="s">
        <v>148</v>
      </c>
      <c r="H36" s="7" t="str">
        <f>"000111"</f>
        <v>000111</v>
      </c>
      <c r="I36" s="6">
        <v>43249</v>
      </c>
      <c r="J36" s="7" t="str">
        <f>"000036"</f>
        <v>000036</v>
      </c>
      <c r="K36" s="6">
        <v>43250</v>
      </c>
      <c r="L36" s="7" t="str">
        <f>"000104"</f>
        <v>000104</v>
      </c>
      <c r="M36" s="6">
        <v>43250</v>
      </c>
      <c r="N36" s="7">
        <v>18</v>
      </c>
      <c r="O36" s="7" t="str">
        <f>"005212"</f>
        <v>005212</v>
      </c>
      <c r="P36" s="6">
        <v>43727</v>
      </c>
      <c r="Q36" s="11">
        <v>26.242360000000001</v>
      </c>
      <c r="R36" s="11">
        <v>2.8079100000000001</v>
      </c>
      <c r="S36" s="11">
        <v>23.434449999999998</v>
      </c>
      <c r="T36" s="7">
        <v>197</v>
      </c>
      <c r="U36" s="6">
        <v>43731</v>
      </c>
      <c r="V36" s="7">
        <v>9945533990</v>
      </c>
      <c r="W36" s="10" t="s">
        <v>57</v>
      </c>
      <c r="X36" s="7" t="s">
        <v>45</v>
      </c>
      <c r="Y36" s="10" t="s">
        <v>46</v>
      </c>
      <c r="Z36" s="7" t="s">
        <v>54</v>
      </c>
      <c r="AA36" s="10" t="s">
        <v>55</v>
      </c>
      <c r="AB36" s="11">
        <f t="shared" si="1"/>
        <v>0.26242360000000003</v>
      </c>
    </row>
    <row r="37" spans="1:28" x14ac:dyDescent="0.35">
      <c r="A37" s="4">
        <v>4350</v>
      </c>
      <c r="B37" s="5" t="s">
        <v>146</v>
      </c>
      <c r="C37" s="6">
        <v>43731</v>
      </c>
      <c r="D37" s="7">
        <v>136</v>
      </c>
      <c r="E37" s="8" t="s">
        <v>60</v>
      </c>
      <c r="F37" s="7" t="s">
        <v>149</v>
      </c>
      <c r="G37" s="10" t="s">
        <v>150</v>
      </c>
      <c r="H37" s="7" t="str">
        <f>"000112"</f>
        <v>000112</v>
      </c>
      <c r="I37" s="6">
        <v>43249</v>
      </c>
      <c r="J37" s="7" t="str">
        <f>"000038"</f>
        <v>000038</v>
      </c>
      <c r="K37" s="6">
        <v>43250</v>
      </c>
      <c r="L37" s="7" t="str">
        <f>"000106"</f>
        <v>000106</v>
      </c>
      <c r="M37" s="6">
        <v>43250</v>
      </c>
      <c r="N37" s="7">
        <v>17</v>
      </c>
      <c r="O37" s="7" t="str">
        <f>"005213"</f>
        <v>005213</v>
      </c>
      <c r="P37" s="6">
        <v>43727</v>
      </c>
      <c r="Q37" s="11">
        <v>20.99606</v>
      </c>
      <c r="R37" s="11">
        <v>2.2465600000000001</v>
      </c>
      <c r="S37" s="11">
        <v>18.749500000000001</v>
      </c>
      <c r="T37" s="7">
        <v>197</v>
      </c>
      <c r="U37" s="6">
        <v>43731</v>
      </c>
      <c r="V37" s="7">
        <v>9945533990</v>
      </c>
      <c r="W37" s="10" t="s">
        <v>120</v>
      </c>
      <c r="X37" s="7" t="s">
        <v>47</v>
      </c>
      <c r="Y37" s="10" t="s">
        <v>48</v>
      </c>
      <c r="Z37" s="7" t="s">
        <v>54</v>
      </c>
      <c r="AA37" s="10" t="s">
        <v>55</v>
      </c>
      <c r="AB37" s="11">
        <f t="shared" si="1"/>
        <v>0.2099606</v>
      </c>
    </row>
    <row r="38" spans="1:28" x14ac:dyDescent="0.35">
      <c r="A38" s="4">
        <v>4351</v>
      </c>
      <c r="B38" s="5" t="s">
        <v>151</v>
      </c>
      <c r="C38" s="6">
        <v>43752</v>
      </c>
      <c r="D38" s="4">
        <v>136</v>
      </c>
      <c r="E38" s="8" t="s">
        <v>60</v>
      </c>
      <c r="F38" s="7" t="s">
        <v>152</v>
      </c>
      <c r="G38" s="8" t="s">
        <v>153</v>
      </c>
      <c r="H38" s="7" t="str">
        <f>"000021"</f>
        <v>000021</v>
      </c>
      <c r="I38" s="6">
        <v>43217</v>
      </c>
      <c r="J38" s="7" t="str">
        <f>"000006"</f>
        <v>000006</v>
      </c>
      <c r="K38" s="6">
        <v>43217</v>
      </c>
      <c r="L38" s="7" t="str">
        <f>"000010"</f>
        <v>000010</v>
      </c>
      <c r="M38" s="6">
        <v>43217</v>
      </c>
      <c r="N38" s="7">
        <v>18</v>
      </c>
      <c r="O38" s="7" t="str">
        <f>"005518"</f>
        <v>005518</v>
      </c>
      <c r="P38" s="6">
        <v>43739</v>
      </c>
      <c r="Q38" s="9">
        <v>20.987439999999999</v>
      </c>
      <c r="R38" s="9">
        <v>2.2456200000000002</v>
      </c>
      <c r="S38" s="9">
        <v>18.741820000000001</v>
      </c>
      <c r="T38" s="7">
        <v>13</v>
      </c>
      <c r="U38" s="6">
        <v>43752</v>
      </c>
      <c r="V38" s="7">
        <v>9945533990</v>
      </c>
      <c r="W38" s="8" t="s">
        <v>120</v>
      </c>
      <c r="X38" s="7" t="s">
        <v>45</v>
      </c>
      <c r="Y38" s="8" t="s">
        <v>46</v>
      </c>
      <c r="Z38" s="7" t="s">
        <v>54</v>
      </c>
      <c r="AA38" s="8" t="s">
        <v>55</v>
      </c>
      <c r="AB38" s="9">
        <v>0.20987439999999999</v>
      </c>
    </row>
    <row r="39" spans="1:28" x14ac:dyDescent="0.35">
      <c r="A39" s="4">
        <v>4352</v>
      </c>
      <c r="B39" s="5" t="s">
        <v>151</v>
      </c>
      <c r="C39" s="6">
        <v>43757</v>
      </c>
      <c r="D39" s="4">
        <v>136</v>
      </c>
      <c r="E39" s="8" t="s">
        <v>60</v>
      </c>
      <c r="F39" s="7" t="s">
        <v>154</v>
      </c>
      <c r="G39" s="8" t="s">
        <v>155</v>
      </c>
      <c r="H39" s="7" t="str">
        <f>"000007"</f>
        <v>000007</v>
      </c>
      <c r="I39" s="6">
        <v>43217</v>
      </c>
      <c r="J39" s="7" t="str">
        <f>"000020"</f>
        <v>000020</v>
      </c>
      <c r="K39" s="6">
        <v>43218</v>
      </c>
      <c r="L39" s="7" t="str">
        <f>"000083"</f>
        <v>000083</v>
      </c>
      <c r="M39" s="6">
        <v>43218</v>
      </c>
      <c r="N39" s="7">
        <v>18</v>
      </c>
      <c r="O39" s="7" t="str">
        <f>"005575"</f>
        <v>005575</v>
      </c>
      <c r="P39" s="6">
        <v>43739</v>
      </c>
      <c r="Q39" s="9">
        <v>20.990749999999998</v>
      </c>
      <c r="R39" s="9">
        <v>2.2459699999999998</v>
      </c>
      <c r="S39" s="9">
        <v>18.744779999999999</v>
      </c>
      <c r="T39" s="7">
        <v>13</v>
      </c>
      <c r="U39" s="6">
        <v>43757</v>
      </c>
      <c r="V39" s="7">
        <v>9945533990</v>
      </c>
      <c r="W39" s="8" t="s">
        <v>57</v>
      </c>
      <c r="X39" s="7" t="s">
        <v>156</v>
      </c>
      <c r="Y39" s="8" t="s">
        <v>157</v>
      </c>
      <c r="Z39" s="7" t="s">
        <v>54</v>
      </c>
      <c r="AA39" s="8" t="s">
        <v>55</v>
      </c>
      <c r="AB39" s="9">
        <v>0.2099075</v>
      </c>
    </row>
    <row r="40" spans="1:28" x14ac:dyDescent="0.35">
      <c r="A40" s="4">
        <v>4353</v>
      </c>
      <c r="B40" s="5" t="s">
        <v>151</v>
      </c>
      <c r="C40" s="6">
        <v>43757</v>
      </c>
      <c r="D40" s="4">
        <v>136</v>
      </c>
      <c r="E40" s="8" t="s">
        <v>60</v>
      </c>
      <c r="F40" s="7" t="s">
        <v>158</v>
      </c>
      <c r="G40" s="8" t="s">
        <v>159</v>
      </c>
      <c r="H40" s="7" t="str">
        <f>"000078"</f>
        <v>000078</v>
      </c>
      <c r="I40" s="6">
        <v>43217</v>
      </c>
      <c r="J40" s="7" t="str">
        <f>"000028"</f>
        <v>000028</v>
      </c>
      <c r="K40" s="6">
        <v>43218</v>
      </c>
      <c r="L40" s="7" t="str">
        <f>"000093"</f>
        <v>000093</v>
      </c>
      <c r="M40" s="6">
        <v>43218</v>
      </c>
      <c r="N40" s="7">
        <v>18</v>
      </c>
      <c r="O40" s="7" t="str">
        <f>"005576"</f>
        <v>005576</v>
      </c>
      <c r="P40" s="6">
        <v>43739</v>
      </c>
      <c r="Q40" s="9">
        <v>26.246420000000001</v>
      </c>
      <c r="R40" s="9">
        <v>2.8345799999999999</v>
      </c>
      <c r="S40" s="9">
        <v>23.411840000000002</v>
      </c>
      <c r="T40" s="7">
        <v>13</v>
      </c>
      <c r="U40" s="6">
        <v>43757</v>
      </c>
      <c r="V40" s="7">
        <v>8317395607</v>
      </c>
      <c r="W40" s="8" t="s">
        <v>160</v>
      </c>
      <c r="X40" s="7" t="s">
        <v>45</v>
      </c>
      <c r="Y40" s="8" t="s">
        <v>46</v>
      </c>
      <c r="Z40" s="7" t="s">
        <v>54</v>
      </c>
      <c r="AA40" s="8" t="s">
        <v>55</v>
      </c>
      <c r="AB40" s="9">
        <v>0.26246419999999998</v>
      </c>
    </row>
    <row r="41" spans="1:28" x14ac:dyDescent="0.35">
      <c r="A41" s="4">
        <v>4354</v>
      </c>
      <c r="B41" s="5" t="s">
        <v>161</v>
      </c>
      <c r="C41" s="6">
        <v>43809</v>
      </c>
      <c r="D41" s="4">
        <v>136</v>
      </c>
      <c r="E41" s="8" t="s">
        <v>60</v>
      </c>
      <c r="F41" s="7" t="s">
        <v>162</v>
      </c>
      <c r="G41" s="8" t="s">
        <v>163</v>
      </c>
      <c r="H41" s="7" t="str">
        <f>"000214"</f>
        <v>000214</v>
      </c>
      <c r="I41" s="6">
        <v>43371</v>
      </c>
      <c r="J41" s="7" t="str">
        <f>"000100"</f>
        <v>000100</v>
      </c>
      <c r="K41" s="6">
        <v>43372</v>
      </c>
      <c r="L41" s="7" t="str">
        <f>"000184"</f>
        <v>000184</v>
      </c>
      <c r="M41" s="6">
        <v>43372</v>
      </c>
      <c r="N41" s="7">
        <v>18</v>
      </c>
      <c r="O41" s="7" t="str">
        <f>"006608"</f>
        <v>006608</v>
      </c>
      <c r="P41" s="6">
        <v>43803</v>
      </c>
      <c r="Q41" s="9">
        <v>26.240130000000001</v>
      </c>
      <c r="R41" s="9">
        <v>2.3091200000000001</v>
      </c>
      <c r="S41" s="9">
        <v>23.931010000000001</v>
      </c>
      <c r="T41" s="7">
        <v>13</v>
      </c>
      <c r="U41" s="6">
        <v>43809</v>
      </c>
      <c r="V41" s="7">
        <v>9945533990</v>
      </c>
      <c r="W41" s="8" t="s">
        <v>56</v>
      </c>
      <c r="X41" s="7" t="s">
        <v>45</v>
      </c>
      <c r="Y41" s="8" t="s">
        <v>46</v>
      </c>
      <c r="Z41" s="7" t="s">
        <v>54</v>
      </c>
      <c r="AA41" s="8" t="s">
        <v>55</v>
      </c>
      <c r="AB41" s="9">
        <v>0.2624013</v>
      </c>
    </row>
    <row r="42" spans="1:28" x14ac:dyDescent="0.35">
      <c r="A42" s="4">
        <v>4355</v>
      </c>
      <c r="B42" s="5" t="s">
        <v>161</v>
      </c>
      <c r="C42" s="6">
        <v>43809</v>
      </c>
      <c r="D42" s="4">
        <v>136</v>
      </c>
      <c r="E42" s="8" t="s">
        <v>60</v>
      </c>
      <c r="F42" s="7" t="s">
        <v>164</v>
      </c>
      <c r="G42" s="8" t="s">
        <v>165</v>
      </c>
      <c r="H42" s="7" t="str">
        <f>"000213"</f>
        <v>000213</v>
      </c>
      <c r="I42" s="6">
        <v>43371</v>
      </c>
      <c r="J42" s="7" t="str">
        <f>"000101"</f>
        <v>000101</v>
      </c>
      <c r="K42" s="6">
        <v>43372</v>
      </c>
      <c r="L42" s="7" t="str">
        <f>"000185"</f>
        <v>000185</v>
      </c>
      <c r="M42" s="6">
        <v>43372</v>
      </c>
      <c r="N42" s="7">
        <v>18</v>
      </c>
      <c r="O42" s="7" t="str">
        <f>"006609"</f>
        <v>006609</v>
      </c>
      <c r="P42" s="6">
        <v>43803</v>
      </c>
      <c r="Q42" s="9">
        <v>26.24399</v>
      </c>
      <c r="R42" s="9">
        <v>2.3094299999999999</v>
      </c>
      <c r="S42" s="9">
        <v>23.934560000000001</v>
      </c>
      <c r="T42" s="7">
        <v>13</v>
      </c>
      <c r="U42" s="6">
        <v>43809</v>
      </c>
      <c r="V42" s="7">
        <v>9945533990</v>
      </c>
      <c r="W42" s="8" t="s">
        <v>56</v>
      </c>
      <c r="X42" s="7" t="s">
        <v>45</v>
      </c>
      <c r="Y42" s="8" t="s">
        <v>46</v>
      </c>
      <c r="Z42" s="7" t="s">
        <v>54</v>
      </c>
      <c r="AA42" s="8" t="s">
        <v>55</v>
      </c>
      <c r="AB42" s="9">
        <v>0.2624399</v>
      </c>
    </row>
    <row r="43" spans="1:28" x14ac:dyDescent="0.35">
      <c r="A43" s="4">
        <v>4356</v>
      </c>
      <c r="B43" s="5" t="s">
        <v>161</v>
      </c>
      <c r="C43" s="6">
        <v>43809</v>
      </c>
      <c r="D43" s="4">
        <v>136</v>
      </c>
      <c r="E43" s="8" t="s">
        <v>60</v>
      </c>
      <c r="F43" s="7" t="s">
        <v>166</v>
      </c>
      <c r="G43" s="8" t="s">
        <v>167</v>
      </c>
      <c r="H43" s="7" t="str">
        <f>"000217"</f>
        <v>000217</v>
      </c>
      <c r="I43" s="6">
        <v>43371</v>
      </c>
      <c r="J43" s="7" t="str">
        <f>"000106"</f>
        <v>000106</v>
      </c>
      <c r="K43" s="6">
        <v>43372</v>
      </c>
      <c r="L43" s="7" t="str">
        <f>"000186"</f>
        <v>000186</v>
      </c>
      <c r="M43" s="6">
        <v>43372</v>
      </c>
      <c r="N43" s="7">
        <v>18</v>
      </c>
      <c r="O43" s="7" t="str">
        <f>"006610"</f>
        <v>006610</v>
      </c>
      <c r="P43" s="6">
        <v>43803</v>
      </c>
      <c r="Q43" s="9">
        <v>25.801680000000001</v>
      </c>
      <c r="R43" s="9">
        <v>2.2447300000000001</v>
      </c>
      <c r="S43" s="9">
        <v>23.556950000000001</v>
      </c>
      <c r="T43" s="7">
        <v>13</v>
      </c>
      <c r="U43" s="6">
        <v>43809</v>
      </c>
      <c r="V43" s="7">
        <v>9945533990</v>
      </c>
      <c r="W43" s="8" t="s">
        <v>56</v>
      </c>
      <c r="X43" s="7" t="s">
        <v>45</v>
      </c>
      <c r="Y43" s="8" t="s">
        <v>46</v>
      </c>
      <c r="Z43" s="7" t="s">
        <v>54</v>
      </c>
      <c r="AA43" s="8" t="s">
        <v>55</v>
      </c>
      <c r="AB43" s="9">
        <v>0.25801679999999999</v>
      </c>
    </row>
    <row r="44" spans="1:28" x14ac:dyDescent="0.35">
      <c r="A44" s="4">
        <v>4357</v>
      </c>
      <c r="B44" s="5" t="s">
        <v>161</v>
      </c>
      <c r="C44" s="6">
        <v>43809</v>
      </c>
      <c r="D44" s="4">
        <v>136</v>
      </c>
      <c r="E44" s="8" t="s">
        <v>60</v>
      </c>
      <c r="F44" s="7" t="s">
        <v>168</v>
      </c>
      <c r="G44" s="8" t="s">
        <v>169</v>
      </c>
      <c r="H44" s="7" t="str">
        <f>"000216"</f>
        <v>000216</v>
      </c>
      <c r="I44" s="6">
        <v>43371</v>
      </c>
      <c r="J44" s="7" t="str">
        <f>"000105"</f>
        <v>000105</v>
      </c>
      <c r="K44" s="6">
        <v>43372</v>
      </c>
      <c r="L44" s="7" t="str">
        <f>"000187"</f>
        <v>000187</v>
      </c>
      <c r="M44" s="6">
        <v>43372</v>
      </c>
      <c r="N44" s="7">
        <v>18</v>
      </c>
      <c r="O44" s="7" t="str">
        <f>"006612"</f>
        <v>006612</v>
      </c>
      <c r="P44" s="6">
        <v>43803</v>
      </c>
      <c r="Q44" s="9">
        <v>26.24119</v>
      </c>
      <c r="R44" s="9">
        <v>2.3092100000000002</v>
      </c>
      <c r="S44" s="9">
        <v>23.931979999999999</v>
      </c>
      <c r="T44" s="7">
        <v>13</v>
      </c>
      <c r="U44" s="6">
        <v>43809</v>
      </c>
      <c r="V44" s="7">
        <v>9945533990</v>
      </c>
      <c r="W44" s="8" t="s">
        <v>56</v>
      </c>
      <c r="X44" s="7" t="s">
        <v>45</v>
      </c>
      <c r="Y44" s="8" t="s">
        <v>46</v>
      </c>
      <c r="Z44" s="7" t="s">
        <v>54</v>
      </c>
      <c r="AA44" s="8" t="s">
        <v>55</v>
      </c>
      <c r="AB44" s="9">
        <v>0.26241189999999998</v>
      </c>
    </row>
    <row r="45" spans="1:28" x14ac:dyDescent="0.35">
      <c r="A45" s="4">
        <v>4358</v>
      </c>
      <c r="B45" s="5" t="s">
        <v>161</v>
      </c>
      <c r="C45" s="6">
        <v>43809</v>
      </c>
      <c r="D45" s="4">
        <v>136</v>
      </c>
      <c r="E45" s="8" t="s">
        <v>60</v>
      </c>
      <c r="F45" s="7" t="s">
        <v>170</v>
      </c>
      <c r="G45" s="8" t="s">
        <v>171</v>
      </c>
      <c r="H45" s="7" t="str">
        <f>"000212"</f>
        <v>000212</v>
      </c>
      <c r="I45" s="6">
        <v>43371</v>
      </c>
      <c r="J45" s="7" t="str">
        <f>"000103"</f>
        <v>000103</v>
      </c>
      <c r="K45" s="6">
        <v>43372</v>
      </c>
      <c r="L45" s="7" t="str">
        <f>"000189"</f>
        <v>000189</v>
      </c>
      <c r="M45" s="6">
        <v>43372</v>
      </c>
      <c r="N45" s="7">
        <v>18</v>
      </c>
      <c r="O45" s="7" t="str">
        <f>"006613"</f>
        <v>006613</v>
      </c>
      <c r="P45" s="6">
        <v>43803</v>
      </c>
      <c r="Q45" s="9">
        <v>26.244150000000001</v>
      </c>
      <c r="R45" s="9">
        <v>2.3094600000000001</v>
      </c>
      <c r="S45" s="9">
        <v>23.93469</v>
      </c>
      <c r="T45" s="7">
        <v>13</v>
      </c>
      <c r="U45" s="6">
        <v>43809</v>
      </c>
      <c r="V45" s="7">
        <v>9945533990</v>
      </c>
      <c r="W45" s="8" t="s">
        <v>56</v>
      </c>
      <c r="X45" s="7" t="s">
        <v>45</v>
      </c>
      <c r="Y45" s="8" t="s">
        <v>46</v>
      </c>
      <c r="Z45" s="7" t="s">
        <v>54</v>
      </c>
      <c r="AA45" s="8" t="s">
        <v>55</v>
      </c>
      <c r="AB45" s="9">
        <v>0.26244149999999999</v>
      </c>
    </row>
    <row r="46" spans="1:28" x14ac:dyDescent="0.35">
      <c r="A46" s="4">
        <v>4359</v>
      </c>
      <c r="B46" s="5" t="s">
        <v>161</v>
      </c>
      <c r="C46" s="6">
        <v>43809</v>
      </c>
      <c r="D46" s="4">
        <v>136</v>
      </c>
      <c r="E46" s="8" t="s">
        <v>60</v>
      </c>
      <c r="F46" s="7" t="s">
        <v>172</v>
      </c>
      <c r="G46" s="8" t="s">
        <v>173</v>
      </c>
      <c r="H46" s="7" t="str">
        <f>"000215"</f>
        <v>000215</v>
      </c>
      <c r="I46" s="6">
        <v>43371</v>
      </c>
      <c r="J46" s="7" t="str">
        <f>"000102"</f>
        <v>000102</v>
      </c>
      <c r="K46" s="6">
        <v>43372</v>
      </c>
      <c r="L46" s="7" t="str">
        <f>"000190"</f>
        <v>000190</v>
      </c>
      <c r="M46" s="6">
        <v>43372</v>
      </c>
      <c r="N46" s="7">
        <v>18</v>
      </c>
      <c r="O46" s="7" t="str">
        <f>"006614"</f>
        <v>006614</v>
      </c>
      <c r="P46" s="6">
        <v>43803</v>
      </c>
      <c r="Q46" s="9">
        <v>43.190040000000003</v>
      </c>
      <c r="R46" s="9">
        <v>4.0166700000000004</v>
      </c>
      <c r="S46" s="9">
        <v>39.173369999999998</v>
      </c>
      <c r="T46" s="7">
        <v>13</v>
      </c>
      <c r="U46" s="6">
        <v>43809</v>
      </c>
      <c r="V46" s="7">
        <v>9945533990</v>
      </c>
      <c r="W46" s="8" t="s">
        <v>56</v>
      </c>
      <c r="X46" s="7" t="s">
        <v>45</v>
      </c>
      <c r="Y46" s="8" t="s">
        <v>46</v>
      </c>
      <c r="Z46" s="7" t="s">
        <v>54</v>
      </c>
      <c r="AA46" s="8" t="s">
        <v>55</v>
      </c>
      <c r="AB46" s="9">
        <v>0.43190040000000002</v>
      </c>
    </row>
    <row r="47" spans="1:28" x14ac:dyDescent="0.35">
      <c r="A47" s="4">
        <v>4360</v>
      </c>
      <c r="B47" s="5" t="s">
        <v>161</v>
      </c>
      <c r="C47" s="6">
        <v>43817</v>
      </c>
      <c r="D47" s="4">
        <v>136</v>
      </c>
      <c r="E47" s="8" t="s">
        <v>60</v>
      </c>
      <c r="F47" s="7" t="s">
        <v>174</v>
      </c>
      <c r="G47" s="8" t="s">
        <v>175</v>
      </c>
      <c r="H47" s="7" t="str">
        <f>"000113"</f>
        <v>000113</v>
      </c>
      <c r="I47" s="6">
        <v>43249</v>
      </c>
      <c r="J47" s="7" t="str">
        <f>"000037"</f>
        <v>000037</v>
      </c>
      <c r="K47" s="6">
        <v>43250</v>
      </c>
      <c r="L47" s="7" t="str">
        <f>"000105"</f>
        <v>000105</v>
      </c>
      <c r="M47" s="6">
        <v>43250</v>
      </c>
      <c r="N47" s="7">
        <v>17</v>
      </c>
      <c r="O47" s="7" t="str">
        <f>"006712"</f>
        <v>006712</v>
      </c>
      <c r="P47" s="6">
        <v>43809</v>
      </c>
      <c r="Q47" s="9">
        <v>26.241409999999998</v>
      </c>
      <c r="R47" s="9">
        <v>2.8077999999999999</v>
      </c>
      <c r="S47" s="9">
        <v>23.433610000000002</v>
      </c>
      <c r="T47" s="7">
        <v>13</v>
      </c>
      <c r="U47" s="6">
        <v>43817</v>
      </c>
      <c r="V47" s="7">
        <v>9945533990</v>
      </c>
      <c r="W47" s="8" t="s">
        <v>120</v>
      </c>
      <c r="X47" s="7" t="s">
        <v>47</v>
      </c>
      <c r="Y47" s="8" t="s">
        <v>48</v>
      </c>
      <c r="Z47" s="7" t="s">
        <v>54</v>
      </c>
      <c r="AA47" s="8" t="s">
        <v>55</v>
      </c>
      <c r="AB47" s="9">
        <v>0.26241409999999998</v>
      </c>
    </row>
    <row r="48" spans="1:28" x14ac:dyDescent="0.35">
      <c r="A48" s="4">
        <v>4361</v>
      </c>
      <c r="B48" s="5" t="s">
        <v>161</v>
      </c>
      <c r="C48" s="6">
        <v>43817</v>
      </c>
      <c r="D48" s="4">
        <v>136</v>
      </c>
      <c r="E48" s="8" t="s">
        <v>60</v>
      </c>
      <c r="F48" s="7" t="s">
        <v>176</v>
      </c>
      <c r="G48" s="8" t="s">
        <v>177</v>
      </c>
      <c r="H48" s="7" t="str">
        <f>"000109"</f>
        <v>000109</v>
      </c>
      <c r="I48" s="6">
        <v>43249</v>
      </c>
      <c r="J48" s="7" t="str">
        <f>"000041"</f>
        <v>000041</v>
      </c>
      <c r="K48" s="6">
        <v>43250</v>
      </c>
      <c r="L48" s="7" t="str">
        <f>"000109"</f>
        <v>000109</v>
      </c>
      <c r="M48" s="6">
        <v>43250</v>
      </c>
      <c r="N48" s="7">
        <v>17</v>
      </c>
      <c r="O48" s="7" t="str">
        <f>"006713"</f>
        <v>006713</v>
      </c>
      <c r="P48" s="6">
        <v>43809</v>
      </c>
      <c r="Q48" s="9">
        <v>20.993289999999998</v>
      </c>
      <c r="R48" s="9">
        <v>2.2462499999999999</v>
      </c>
      <c r="S48" s="9">
        <v>18.747039999999998</v>
      </c>
      <c r="T48" s="7">
        <v>13</v>
      </c>
      <c r="U48" s="6">
        <v>43817</v>
      </c>
      <c r="V48" s="7">
        <v>9945533990</v>
      </c>
      <c r="W48" s="8" t="s">
        <v>57</v>
      </c>
      <c r="X48" s="7" t="s">
        <v>47</v>
      </c>
      <c r="Y48" s="8" t="s">
        <v>48</v>
      </c>
      <c r="Z48" s="7" t="s">
        <v>54</v>
      </c>
      <c r="AA48" s="8" t="s">
        <v>55</v>
      </c>
      <c r="AB48" s="9">
        <v>0.20993289999999998</v>
      </c>
    </row>
    <row r="49" spans="1:28" x14ac:dyDescent="0.35">
      <c r="A49" s="4">
        <v>4362</v>
      </c>
      <c r="B49" s="5" t="s">
        <v>161</v>
      </c>
      <c r="C49" s="6">
        <v>43817</v>
      </c>
      <c r="D49" s="4">
        <v>136</v>
      </c>
      <c r="E49" s="8" t="s">
        <v>60</v>
      </c>
      <c r="F49" s="7" t="s">
        <v>178</v>
      </c>
      <c r="G49" s="8" t="s">
        <v>179</v>
      </c>
      <c r="H49" s="7" t="str">
        <f>"000107"</f>
        <v>000107</v>
      </c>
      <c r="I49" s="6">
        <v>43249</v>
      </c>
      <c r="J49" s="7" t="str">
        <f>"000042"</f>
        <v>000042</v>
      </c>
      <c r="K49" s="6">
        <v>43250</v>
      </c>
      <c r="L49" s="7" t="str">
        <f>"000110"</f>
        <v>000110</v>
      </c>
      <c r="M49" s="6">
        <v>43250</v>
      </c>
      <c r="N49" s="7">
        <v>18</v>
      </c>
      <c r="O49" s="7" t="str">
        <f>"006714"</f>
        <v>006714</v>
      </c>
      <c r="P49" s="6">
        <v>43809</v>
      </c>
      <c r="Q49" s="9">
        <v>20.989930000000001</v>
      </c>
      <c r="R49" s="9">
        <v>2.24586</v>
      </c>
      <c r="S49" s="9">
        <v>18.744070000000001</v>
      </c>
      <c r="T49" s="7">
        <v>13</v>
      </c>
      <c r="U49" s="6">
        <v>43817</v>
      </c>
      <c r="V49" s="7">
        <v>9945533990</v>
      </c>
      <c r="W49" s="8" t="s">
        <v>57</v>
      </c>
      <c r="X49" s="7" t="s">
        <v>45</v>
      </c>
      <c r="Y49" s="8" t="s">
        <v>46</v>
      </c>
      <c r="Z49" s="7" t="s">
        <v>54</v>
      </c>
      <c r="AA49" s="8" t="s">
        <v>55</v>
      </c>
      <c r="AB49" s="9">
        <v>0.20989930000000001</v>
      </c>
    </row>
    <row r="50" spans="1:28" x14ac:dyDescent="0.35">
      <c r="A50" s="4">
        <v>4363</v>
      </c>
      <c r="B50" s="5" t="s">
        <v>161</v>
      </c>
      <c r="C50" s="6">
        <v>43817</v>
      </c>
      <c r="D50" s="4">
        <v>136</v>
      </c>
      <c r="E50" s="8" t="s">
        <v>60</v>
      </c>
      <c r="F50" s="7" t="s">
        <v>180</v>
      </c>
      <c r="G50" s="8" t="s">
        <v>181</v>
      </c>
      <c r="H50" s="7" t="str">
        <f>"000115"</f>
        <v>000115</v>
      </c>
      <c r="I50" s="6">
        <v>43249</v>
      </c>
      <c r="J50" s="7" t="str">
        <f>"000051"</f>
        <v>000051</v>
      </c>
      <c r="K50" s="6">
        <v>43250</v>
      </c>
      <c r="L50" s="7" t="str">
        <f>"000117"</f>
        <v>000117</v>
      </c>
      <c r="M50" s="6">
        <v>43250</v>
      </c>
      <c r="N50" s="7">
        <v>18</v>
      </c>
      <c r="O50" s="7" t="str">
        <f>"006716"</f>
        <v>006716</v>
      </c>
      <c r="P50" s="6">
        <v>43809</v>
      </c>
      <c r="Q50" s="9">
        <v>26.239370000000001</v>
      </c>
      <c r="R50" s="9">
        <v>2.8075800000000002</v>
      </c>
      <c r="S50" s="9">
        <v>23.431789999999999</v>
      </c>
      <c r="T50" s="7">
        <v>13</v>
      </c>
      <c r="U50" s="6">
        <v>43817</v>
      </c>
      <c r="V50" s="7">
        <v>8317395607</v>
      </c>
      <c r="W50" s="8" t="s">
        <v>83</v>
      </c>
      <c r="X50" s="7" t="s">
        <v>45</v>
      </c>
      <c r="Y50" s="8" t="s">
        <v>46</v>
      </c>
      <c r="Z50" s="7" t="s">
        <v>54</v>
      </c>
      <c r="AA50" s="8" t="s">
        <v>55</v>
      </c>
      <c r="AB50" s="9">
        <v>0.26239370000000001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2020-01-30T06:39:24Z</dcterms:modified>
</cp:coreProperties>
</file>