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L33" i="1"/>
  <c r="J33" i="1"/>
  <c r="H33" i="1"/>
  <c r="O32" i="1"/>
  <c r="L32" i="1"/>
  <c r="J32" i="1"/>
  <c r="H32" i="1"/>
  <c r="O31" i="1"/>
  <c r="L31" i="1"/>
  <c r="J31" i="1"/>
  <c r="H31" i="1"/>
  <c r="O30" i="1"/>
  <c r="L30" i="1"/>
  <c r="J30" i="1"/>
  <c r="H30" i="1"/>
  <c r="O29" i="1"/>
  <c r="L29" i="1"/>
  <c r="J29" i="1"/>
  <c r="H29"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<sst xmlns="http://schemas.openxmlformats.org/spreadsheetml/2006/main" count="316" uniqueCount="153">
  <si>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</si>
  <si>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</si>
  <si>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</si>
  <si>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</si>
  <si>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</si>
  <si>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</si>
  <si>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</si>
  <si>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</si>
  <si>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</si>
  <si>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</si>
  <si>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</si>
  <si>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</si>
  <si>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</si>
  <si>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</si>
  <si>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</si>
  <si>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</si>
  <si>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</si>
  <si>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</si>
  <si>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</si>
  <si>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</si>
  <si>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</si>
  <si>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</si>
  <si>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</si>
  <si>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</si>
  <si>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</si>
  <si>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</si>
  <si>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</si>
  <si>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</si>
  <si>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</si>
  <si>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</si>
  <si>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</si>
  <si>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</si>
  <si>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</si>
  <si>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</si>
  <si>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</si>
  <si>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Sri Gayathri Electricals</t>
  </si>
  <si>
    <t>ddo209</t>
  </si>
  <si>
    <t xml:space="preserve"> Assistant Executive Engineer Electrical West Zone</t>
  </si>
  <si>
    <t>P3291</t>
  </si>
  <si>
    <t>14th Fin  -Maintenance of Cremotorium, Burial Grounds</t>
  </si>
  <si>
    <t>P3292</t>
  </si>
  <si>
    <t>14th Finance Commission Works - Community Property Maintenance (including Parks)</t>
  </si>
  <si>
    <t>P3075</t>
  </si>
  <si>
    <t>Special comprehensive development works in Bangalore city (Bangalore city in charge Minister Discretionary Grants)</t>
  </si>
  <si>
    <t>P3295</t>
  </si>
  <si>
    <t>14th Finance Commission Works - UGD Works</t>
  </si>
  <si>
    <t>P1878</t>
  </si>
  <si>
    <t>18per - Works (Bhagyajyothi, Sooru / Neeru Yojane and General) (54 Lakhs / New Wards)</t>
  </si>
  <si>
    <t>KRIDL</t>
  </si>
  <si>
    <t>P3290</t>
  </si>
  <si>
    <t>14th Finance Commission Works - Providing Street Lights and Maintenance</t>
  </si>
  <si>
    <t>ddo268</t>
  </si>
  <si>
    <t xml:space="preserve"> Assistant Executive Engineer J J R nagar West Zone</t>
  </si>
  <si>
    <t>P3297</t>
  </si>
  <si>
    <t>14th Finance Commission Grants - SWD Works</t>
  </si>
  <si>
    <t>Chelavadi Palya</t>
  </si>
  <si>
    <t>138-18-000006</t>
  </si>
  <si>
    <t>Construction to Gym Building at Anjanappa garden in ward no 138</t>
  </si>
  <si>
    <t>M R Yogesh Kumar</t>
  </si>
  <si>
    <t>P3329</t>
  </si>
  <si>
    <t>Special Development works at Wards (70 wards Rs.1.00 Cr. Each) - Ward Numbers as per Budget Book 2017-18 page no. 109</t>
  </si>
  <si>
    <t>138-16-000001</t>
  </si>
  <si>
    <t xml:space="preserve"> Annual Operation And maintenance Of Street Lights at Cheluvadhipalya and K.R Market in Ward No- 138 and 139</t>
  </si>
  <si>
    <t>138-17-000005</t>
  </si>
  <si>
    <t>Ward Maintanance work using private gangmen and Tractor for the year 2016-17 in ward No. 138</t>
  </si>
  <si>
    <t>138-17-000025</t>
  </si>
  <si>
    <t>Providing railings to drains from Balekayimandi to Rajkumar statue at Tankbond road in ward no 138</t>
  </si>
  <si>
    <t>M.R.Yogesh Kumar</t>
  </si>
  <si>
    <t>P3173</t>
  </si>
  <si>
    <t>Special Development works in ward No.124, 185, 98, 188, 10, 14, 16, 30, 28, 37, 42, 130, 159, 65, 66, 73, 79, 80, 90, 95, 94, 89, 108, 111, 115, 97, 105, 131, 133, 119, 125, 137, 143, 124, 158, 138, 83, 166, 182, 129, 165, 161, 04, 88, 27, 31, 32, 52, 44, 26, 07, 183, 178, 187 (Rs.100 lakhs per ward)</t>
  </si>
  <si>
    <t>138-17-000026</t>
  </si>
  <si>
    <t>Providing railings to drains from Rajkumar statue to sirsicircle in ward no 138</t>
  </si>
  <si>
    <t>138-17-000012</t>
  </si>
  <si>
    <t>Improvements to Drains from Sirsi circle to Vinayaka Theatre in Ward No. 138</t>
  </si>
  <si>
    <t>138-17-000011</t>
  </si>
  <si>
    <t>Improvements to Drains from Balekai Mandi to Sirsi circle in Ward No. 138</t>
  </si>
  <si>
    <t>138-19-000001</t>
  </si>
  <si>
    <t>Improvements to road and drains at Anjanappa garden main road in ward no-138</t>
  </si>
  <si>
    <t>138-17-000029</t>
  </si>
  <si>
    <t>Providing railings to pedestrian drain from vinayaka theatre to vetarnity hospital in ward no 138</t>
  </si>
  <si>
    <t>M.R.YOGESH KUMAR.</t>
  </si>
  <si>
    <t>138-17-000036</t>
  </si>
  <si>
    <t>Provding Tiles to footpath  from  balekai mandi to sirsi Circle in ward No. 138</t>
  </si>
  <si>
    <t>138-17-000037</t>
  </si>
  <si>
    <t>Provding Tiles to footpath and  improvement work to mysore road upto Vinayaka Theatre in ward No. 138</t>
  </si>
  <si>
    <t>138-17-000039</t>
  </si>
  <si>
    <t>Developmental works to Siddartha Nagar and surrounding area in ward No. 138</t>
  </si>
  <si>
    <t>M R Yoges Kumar</t>
  </si>
  <si>
    <t>138-19-000002</t>
  </si>
  <si>
    <t>Maintenance of CC Cameras at ward Jurisdiction in ward no 138</t>
  </si>
  <si>
    <t>L Mahesh</t>
  </si>
  <si>
    <t>138-19-000003</t>
  </si>
  <si>
    <t>Maintenance of BBMP ward office at Siddarthnagara  in ward no 138</t>
  </si>
  <si>
    <t>138-19-000004</t>
  </si>
  <si>
    <t>Maintenance of park at CAR quarters   in ward no 138</t>
  </si>
  <si>
    <t>138-19-000007</t>
  </si>
  <si>
    <t>Providing UGD connection works at Anjanappa garden   in ward no 138</t>
  </si>
  <si>
    <t>K Ranjith Kumar</t>
  </si>
  <si>
    <t>138-19-000009</t>
  </si>
  <si>
    <t>Desilting of SWD drain from Ganesha temple road   in ward no 138</t>
  </si>
  <si>
    <t>July</t>
  </si>
  <si>
    <t>138-19-000005</t>
  </si>
  <si>
    <t>Providing borewell and pipeline connection at Anjanappa garden in ward no 138</t>
  </si>
  <si>
    <t>P3293</t>
  </si>
  <si>
    <t>14th Finance Commission Works - Drinking Water</t>
  </si>
  <si>
    <t>August</t>
  </si>
  <si>
    <t>138-18-000018</t>
  </si>
  <si>
    <t>Construction to BBMP ward office at Siddarthanagara in ward no 138</t>
  </si>
  <si>
    <t>P1808</t>
  </si>
  <si>
    <t>Construction of Ward Offices</t>
  </si>
  <si>
    <t>138-17-000008</t>
  </si>
  <si>
    <t>Improvements and Providing Furnitures to Ambedkar Bhavan in ward No. 138</t>
  </si>
  <si>
    <t>138-18-000012</t>
  </si>
  <si>
    <t>Providing Repairs Maintenance Infratructures Upgradation Construcn. of BBMP Primary School Buildings at Pension Mohalla in Ward No138</t>
  </si>
  <si>
    <t>P3285</t>
  </si>
  <si>
    <t>M and R of School and College buildings</t>
  </si>
  <si>
    <t>138-17-000038</t>
  </si>
  <si>
    <t>Improvments to secondary Drain from SAW Mill to SWD Drain in ward No. 138</t>
  </si>
  <si>
    <t>M R Srinivas</t>
  </si>
  <si>
    <t>138-16-000008</t>
  </si>
  <si>
    <t>Providing Painting to Existing Balekai mandi and TMC Royan Road Archs in ward no 138</t>
  </si>
  <si>
    <t>September</t>
  </si>
  <si>
    <t>138-12-000026</t>
  </si>
  <si>
    <t>Construction of Dr Ambedkar Bhavan at Siddarthanagara Chaluvadipalya Ward No-138</t>
  </si>
  <si>
    <t>K A SHANKAR</t>
  </si>
  <si>
    <t>P2021</t>
  </si>
  <si>
    <t>Purchase of Land and Construction of Houses, Hostels, Ambedkar Bhavan (Incl Prev yr Bal. Bills)</t>
  </si>
  <si>
    <t>138-19-000008</t>
  </si>
  <si>
    <t>Improvements to footpath at Anjanappa garden in ward no 138</t>
  </si>
  <si>
    <t>P3296</t>
  </si>
  <si>
    <t>14th Finance Commission Works - Road and Footpath Maintenance</t>
  </si>
  <si>
    <t>October</t>
  </si>
  <si>
    <t>138-18-000015</t>
  </si>
  <si>
    <t>Reconstruction of RCC drain to SWD secondary drain in Jaibheema Nagara i n cheluvadipalya in ward no 138</t>
  </si>
  <si>
    <t>Sri Prasannakumar</t>
  </si>
  <si>
    <t>P3158</t>
  </si>
  <si>
    <t>SIP Infrastructure Project works</t>
  </si>
  <si>
    <t>ddo313</t>
  </si>
  <si>
    <t xml:space="preserve"> Chief Engineer SWD Central Zone</t>
  </si>
  <si>
    <t>138-18-000030</t>
  </si>
  <si>
    <t>Providing cement conrete to veternary hospital building road in ward no-138 Chaluvadipalya</t>
  </si>
  <si>
    <t>138-19-000030</t>
  </si>
  <si>
    <t>Providing borewell water pipe lines Water Supply works at ward No.138</t>
  </si>
  <si>
    <t>November</t>
  </si>
  <si>
    <t>December</t>
  </si>
  <si>
    <t>138-19-000006</t>
  </si>
  <si>
    <t>Repairs to public toilet at Balekai mandi road in ward no 138</t>
  </si>
  <si>
    <t>P3294</t>
  </si>
  <si>
    <t>14th Finance Commission Works - General Public ToiletandSeptage Maintenance</t>
  </si>
  <si>
    <t>138-18-000017</t>
  </si>
  <si>
    <t>Improvements to CC road and drain at Doreswamy nagara and surrounding area in ward No 138</t>
  </si>
  <si>
    <t>P3261</t>
  </si>
  <si>
    <t>Zone Works Special Grants to Womens represented wards Rs.20.00 Lakhs per ward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</si>
</sst>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tabSelected="1" topLeftCell="A16" workbookViewId="0">
      <selection activeCell="A2" sqref="A2:XFD33"/>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4385</v>
      </c>
      <c r="B2" s="5" t="s">
        <v>28</v>
      </c>
      <c r="C2" s="6">
        <v>43566</v>
      </c>
      <c r="D2" s="7">
        <v>138</v>
      </c>
      <c r="E2" s="8" t="s">
        <v>55</v>
      </c>
      <c r="F2" s="7" t="s">
        <v>56</v>
      </c>
      <c r="G2" s="8" t="s">
        <v>57</v>
      </c>
      <c r="H2" s="7" t="str">
        <f>"000130"</f>
        <v>000130</v>
      </c>
      <c r="I2" s="6">
        <v>43280</v>
      </c>
      <c r="J2" s="7" t="str">
        <f>"000062"</f>
        <v>000062</v>
      </c>
      <c r="K2" s="6">
        <v>43280</v>
      </c>
      <c r="L2" s="7" t="str">
        <f>"000129"</f>
        <v>000129</v>
      </c>
      <c r="M2" s="6">
        <v>43280</v>
      </c>
      <c r="N2" s="7">
        <v>18</v>
      </c>
      <c r="O2" s="7" t="str">
        <f>"000197"</f>
        <v>000197</v>
      </c>
      <c r="P2" s="6">
        <v>43563</v>
      </c>
      <c r="Q2" s="9">
        <v>50.317749999999997</v>
      </c>
      <c r="R2" s="9">
        <v>5.7435700000000001</v>
      </c>
      <c r="S2" s="9">
        <v>44.574179999999998</v>
      </c>
      <c r="T2" s="7">
        <v>11</v>
      </c>
      <c r="U2" s="6">
        <v>43566</v>
      </c>
      <c r="V2" s="7">
        <v>9731804566</v>
      </c>
      <c r="W2" s="8" t="s">
        <v>58</v>
      </c>
      <c r="X2" s="7" t="s">
        <v>59</v>
      </c>
      <c r="Y2" s="8" t="s">
        <v>60</v>
      </c>
      <c r="Z2" s="7" t="s">
        <v>51</v>
      </c>
      <c r="AA2" s="8" t="s">
        <v>52</v>
      </c>
      <c r="AB2" s="9">
        <f t="shared" ref="AB2:AB9" si="0">Q2/100</f>
        <v>0.50317749999999994</v>
      </c>
    </row>
    <row r="3" spans="1:28" x14ac:dyDescent="0.35">
      <c r="A3" s="4">
        <v>4386</v>
      </c>
      <c r="B3" s="5" t="s">
        <v>28</v>
      </c>
      <c r="C3" s="6">
        <v>43575</v>
      </c>
      <c r="D3" s="7">
        <v>138</v>
      </c>
      <c r="E3" s="8" t="s">
        <v>55</v>
      </c>
      <c r="F3" s="7" t="s">
        <v>61</v>
      </c>
      <c r="G3" s="8" t="s">
        <v>62</v>
      </c>
      <c r="H3" s="7" t="str">
        <f>"000025"</f>
        <v>000025</v>
      </c>
      <c r="I3" s="6">
        <v>42942</v>
      </c>
      <c r="J3" s="7" t="str">
        <f>"000223"</f>
        <v>000223</v>
      </c>
      <c r="K3" s="6">
        <v>43514</v>
      </c>
      <c r="L3" s="7" t="str">
        <f>"000222"</f>
        <v>000222</v>
      </c>
      <c r="M3" s="6">
        <v>43514</v>
      </c>
      <c r="N3" s="7">
        <v>16</v>
      </c>
      <c r="O3" s="7" t="str">
        <f>"001386"</f>
        <v>001386</v>
      </c>
      <c r="P3" s="6">
        <v>43594</v>
      </c>
      <c r="Q3" s="9">
        <v>9.9462799999999998</v>
      </c>
      <c r="R3" s="9">
        <v>0.50726000000000004</v>
      </c>
      <c r="S3" s="9">
        <v>9.4390199999999993</v>
      </c>
      <c r="T3" s="7">
        <v>20</v>
      </c>
      <c r="U3" s="6">
        <v>43575</v>
      </c>
      <c r="V3" s="7">
        <v>9845036718</v>
      </c>
      <c r="W3" s="8" t="s">
        <v>35</v>
      </c>
      <c r="X3" s="7" t="s">
        <v>34</v>
      </c>
      <c r="Y3" s="8" t="s">
        <v>33</v>
      </c>
      <c r="Z3" s="7" t="s">
        <v>36</v>
      </c>
      <c r="AA3" s="8" t="s">
        <v>37</v>
      </c>
      <c r="AB3" s="9">
        <f t="shared" si="0"/>
        <v>9.9462800000000004E-2</v>
      </c>
    </row>
    <row r="4" spans="1:28" x14ac:dyDescent="0.35">
      <c r="A4" s="4">
        <v>4387</v>
      </c>
      <c r="B4" s="5" t="s">
        <v>28</v>
      </c>
      <c r="C4" s="6">
        <v>43575</v>
      </c>
      <c r="D4" s="7">
        <v>138</v>
      </c>
      <c r="E4" s="8" t="s">
        <v>55</v>
      </c>
      <c r="F4" s="7" t="s">
        <v>63</v>
      </c>
      <c r="G4" s="8" t="s">
        <v>64</v>
      </c>
      <c r="H4" s="7" t="str">
        <f>"000180"</f>
        <v>000180</v>
      </c>
      <c r="I4" s="6">
        <v>43132</v>
      </c>
      <c r="J4" s="7" t="str">
        <f>"000070"</f>
        <v>000070</v>
      </c>
      <c r="K4" s="6">
        <v>43132</v>
      </c>
      <c r="L4" s="7" t="str">
        <f>"000173"</f>
        <v>000173</v>
      </c>
      <c r="M4" s="6">
        <v>43132</v>
      </c>
      <c r="N4" s="7">
        <v>17</v>
      </c>
      <c r="O4" s="7" t="str">
        <f>"000489"</f>
        <v>000489</v>
      </c>
      <c r="P4" s="6">
        <v>43567</v>
      </c>
      <c r="Q4" s="9">
        <v>12.54435</v>
      </c>
      <c r="R4" s="9">
        <v>1.2669600000000001</v>
      </c>
      <c r="S4" s="9">
        <v>11.27739</v>
      </c>
      <c r="T4" s="7">
        <v>21</v>
      </c>
      <c r="U4" s="6">
        <v>43575</v>
      </c>
      <c r="V4" s="7">
        <v>9731804566</v>
      </c>
      <c r="W4" s="8" t="s">
        <v>58</v>
      </c>
      <c r="X4" s="7" t="s">
        <v>30</v>
      </c>
      <c r="Y4" s="8" t="s">
        <v>31</v>
      </c>
      <c r="Z4" s="7" t="s">
        <v>51</v>
      </c>
      <c r="AA4" s="8" t="s">
        <v>52</v>
      </c>
      <c r="AB4" s="9">
        <f t="shared" si="0"/>
        <v>0.12544349999999999</v>
      </c>
    </row>
    <row r="5" spans="1:28" x14ac:dyDescent="0.35">
      <c r="A5" s="4">
        <v>4388</v>
      </c>
      <c r="B5" s="5" t="s">
        <v>28</v>
      </c>
      <c r="C5" s="6">
        <v>43580</v>
      </c>
      <c r="D5" s="7">
        <v>138</v>
      </c>
      <c r="E5" s="8" t="s">
        <v>55</v>
      </c>
      <c r="F5" s="7" t="s">
        <v>65</v>
      </c>
      <c r="G5" s="8" t="s">
        <v>66</v>
      </c>
      <c r="H5" s="7" t="str">
        <f>"000272"</f>
        <v>000272</v>
      </c>
      <c r="I5" s="6">
        <v>42895</v>
      </c>
      <c r="J5" s="7" t="str">
        <f>"000179"</f>
        <v>000179</v>
      </c>
      <c r="K5" s="6">
        <v>42915</v>
      </c>
      <c r="L5" s="7" t="str">
        <f>"000239"</f>
        <v>000239</v>
      </c>
      <c r="M5" s="6">
        <v>42916</v>
      </c>
      <c r="N5" s="7">
        <v>17</v>
      </c>
      <c r="O5" s="7" t="str">
        <f>"000723"</f>
        <v>000723</v>
      </c>
      <c r="P5" s="6">
        <v>43578</v>
      </c>
      <c r="Q5" s="9">
        <v>20.956569999999999</v>
      </c>
      <c r="R5" s="9">
        <v>2.7452999999999999</v>
      </c>
      <c r="S5" s="9">
        <v>18.211269999999999</v>
      </c>
      <c r="T5" s="7">
        <v>28</v>
      </c>
      <c r="U5" s="6">
        <v>43580</v>
      </c>
      <c r="V5" s="7">
        <v>9731804566</v>
      </c>
      <c r="W5" s="8" t="s">
        <v>67</v>
      </c>
      <c r="X5" s="7" t="s">
        <v>68</v>
      </c>
      <c r="Y5" s="8" t="s">
        <v>69</v>
      </c>
      <c r="Z5" s="7" t="s">
        <v>51</v>
      </c>
      <c r="AA5" s="8" t="s">
        <v>52</v>
      </c>
      <c r="AB5" s="9">
        <f t="shared" si="0"/>
        <v>0.20956569999999999</v>
      </c>
    </row>
    <row r="6" spans="1:28" x14ac:dyDescent="0.35">
      <c r="A6" s="4">
        <v>4389</v>
      </c>
      <c r="B6" s="5" t="s">
        <v>28</v>
      </c>
      <c r="C6" s="6">
        <v>43580</v>
      </c>
      <c r="D6" s="7">
        <v>138</v>
      </c>
      <c r="E6" s="8" t="s">
        <v>55</v>
      </c>
      <c r="F6" s="7" t="s">
        <v>70</v>
      </c>
      <c r="G6" s="8" t="s">
        <v>71</v>
      </c>
      <c r="H6" s="7" t="str">
        <f>"000175"</f>
        <v>000175</v>
      </c>
      <c r="I6" s="6">
        <v>42895</v>
      </c>
      <c r="J6" s="7" t="str">
        <f>"000261"</f>
        <v>000261</v>
      </c>
      <c r="K6" s="6">
        <v>42916</v>
      </c>
      <c r="L6" s="7" t="str">
        <f>"000243"</f>
        <v>000243</v>
      </c>
      <c r="M6" s="6">
        <v>42916</v>
      </c>
      <c r="N6" s="7">
        <v>17</v>
      </c>
      <c r="O6" s="7" t="str">
        <f>"000735"</f>
        <v>000735</v>
      </c>
      <c r="P6" s="6">
        <v>43578</v>
      </c>
      <c r="Q6" s="9">
        <v>20.947679999999998</v>
      </c>
      <c r="R6" s="9">
        <v>2.8069700000000002</v>
      </c>
      <c r="S6" s="9">
        <v>18.140709999999999</v>
      </c>
      <c r="T6" s="7">
        <v>28</v>
      </c>
      <c r="U6" s="6">
        <v>43580</v>
      </c>
      <c r="V6" s="7">
        <v>9731804566</v>
      </c>
      <c r="W6" s="8" t="s">
        <v>58</v>
      </c>
      <c r="X6" s="7" t="s">
        <v>68</v>
      </c>
      <c r="Y6" s="8" t="s">
        <v>69</v>
      </c>
      <c r="Z6" s="7" t="s">
        <v>51</v>
      </c>
      <c r="AA6" s="8" t="s">
        <v>52</v>
      </c>
      <c r="AB6" s="9">
        <f t="shared" si="0"/>
        <v>0.20947679999999999</v>
      </c>
    </row>
    <row r="7" spans="1:28" x14ac:dyDescent="0.35">
      <c r="A7" s="4">
        <v>4390</v>
      </c>
      <c r="B7" s="5" t="s">
        <v>28</v>
      </c>
      <c r="C7" s="6">
        <v>43580</v>
      </c>
      <c r="D7" s="7">
        <v>138</v>
      </c>
      <c r="E7" s="8" t="s">
        <v>55</v>
      </c>
      <c r="F7" s="7" t="s">
        <v>72</v>
      </c>
      <c r="G7" s="8" t="s">
        <v>73</v>
      </c>
      <c r="H7" s="7" t="str">
        <f>"000204"</f>
        <v>000204</v>
      </c>
      <c r="I7" s="6">
        <v>42895</v>
      </c>
      <c r="J7" s="7" t="str">
        <f>"000177"</f>
        <v>000177</v>
      </c>
      <c r="K7" s="6">
        <v>42915</v>
      </c>
      <c r="L7" s="7" t="str">
        <f>"000245"</f>
        <v>000245</v>
      </c>
      <c r="M7" s="6">
        <v>42916</v>
      </c>
      <c r="N7" s="7">
        <v>17</v>
      </c>
      <c r="O7" s="7" t="str">
        <f>"000737"</f>
        <v>000737</v>
      </c>
      <c r="P7" s="6">
        <v>43578</v>
      </c>
      <c r="Q7" s="9">
        <v>20.971360000000001</v>
      </c>
      <c r="R7" s="9">
        <v>2.7473000000000001</v>
      </c>
      <c r="S7" s="9">
        <v>18.224060000000001</v>
      </c>
      <c r="T7" s="7">
        <v>28</v>
      </c>
      <c r="U7" s="6">
        <v>43580</v>
      </c>
      <c r="V7" s="7">
        <v>9731804566</v>
      </c>
      <c r="W7" s="8" t="s">
        <v>67</v>
      </c>
      <c r="X7" s="7" t="s">
        <v>30</v>
      </c>
      <c r="Y7" s="8" t="s">
        <v>31</v>
      </c>
      <c r="Z7" s="7" t="s">
        <v>51</v>
      </c>
      <c r="AA7" s="8" t="s">
        <v>52</v>
      </c>
      <c r="AB7" s="9">
        <f t="shared" si="0"/>
        <v>0.2097136</v>
      </c>
    </row>
    <row r="8" spans="1:28" x14ac:dyDescent="0.35">
      <c r="A8" s="4">
        <v>4391</v>
      </c>
      <c r="B8" s="5" t="s">
        <v>28</v>
      </c>
      <c r="C8" s="6">
        <v>43580</v>
      </c>
      <c r="D8" s="7">
        <v>138</v>
      </c>
      <c r="E8" s="8" t="s">
        <v>55</v>
      </c>
      <c r="F8" s="7" t="s">
        <v>74</v>
      </c>
      <c r="G8" s="8" t="s">
        <v>75</v>
      </c>
      <c r="H8" s="7" t="str">
        <f>"000203"</f>
        <v>000203</v>
      </c>
      <c r="I8" s="6">
        <v>42895</v>
      </c>
      <c r="J8" s="7" t="str">
        <f>"000174"</f>
        <v>000174</v>
      </c>
      <c r="K8" s="6">
        <v>42915</v>
      </c>
      <c r="L8" s="7" t="str">
        <f>"000247"</f>
        <v>000247</v>
      </c>
      <c r="M8" s="6">
        <v>42916</v>
      </c>
      <c r="N8" s="7">
        <v>17</v>
      </c>
      <c r="O8" s="7" t="str">
        <f>"000739"</f>
        <v>000739</v>
      </c>
      <c r="P8" s="6">
        <v>43578</v>
      </c>
      <c r="Q8" s="9">
        <v>20.959800000000001</v>
      </c>
      <c r="R8" s="9">
        <v>2.7457500000000001</v>
      </c>
      <c r="S8" s="9">
        <v>18.21405</v>
      </c>
      <c r="T8" s="7">
        <v>28</v>
      </c>
      <c r="U8" s="6">
        <v>43580</v>
      </c>
      <c r="V8" s="7">
        <v>9731804566</v>
      </c>
      <c r="W8" s="8" t="s">
        <v>67</v>
      </c>
      <c r="X8" s="7" t="s">
        <v>30</v>
      </c>
      <c r="Y8" s="8" t="s">
        <v>31</v>
      </c>
      <c r="Z8" s="7" t="s">
        <v>51</v>
      </c>
      <c r="AA8" s="8" t="s">
        <v>52</v>
      </c>
      <c r="AB8" s="9">
        <f t="shared" si="0"/>
        <v>0.20959800000000001</v>
      </c>
    </row>
    <row r="9" spans="1:28" x14ac:dyDescent="0.35">
      <c r="A9" s="4">
        <v>4392</v>
      </c>
      <c r="B9" s="5" t="s">
        <v>32</v>
      </c>
      <c r="C9" s="6">
        <v>43598</v>
      </c>
      <c r="D9" s="7">
        <v>138</v>
      </c>
      <c r="E9" s="8" t="s">
        <v>55</v>
      </c>
      <c r="F9" s="7" t="s">
        <v>61</v>
      </c>
      <c r="G9" s="8" t="s">
        <v>62</v>
      </c>
      <c r="H9" s="7" t="str">
        <f>"000025"</f>
        <v>000025</v>
      </c>
      <c r="I9" s="6">
        <v>42942</v>
      </c>
      <c r="J9" s="7" t="str">
        <f>"000223"</f>
        <v>000223</v>
      </c>
      <c r="K9" s="6">
        <v>43514</v>
      </c>
      <c r="L9" s="7" t="str">
        <f>"000222"</f>
        <v>000222</v>
      </c>
      <c r="M9" s="6">
        <v>43514</v>
      </c>
      <c r="N9" s="7">
        <v>16</v>
      </c>
      <c r="O9" s="7" t="str">
        <f>"001386"</f>
        <v>001386</v>
      </c>
      <c r="P9" s="6">
        <v>43594</v>
      </c>
      <c r="Q9" s="9">
        <v>10.069800000000001</v>
      </c>
      <c r="R9" s="9">
        <v>1.0170600000000001</v>
      </c>
      <c r="S9" s="9">
        <v>9.05274</v>
      </c>
      <c r="T9" s="7">
        <v>43</v>
      </c>
      <c r="U9" s="6">
        <v>43598</v>
      </c>
      <c r="V9" s="7">
        <v>9845036718</v>
      </c>
      <c r="W9" s="8" t="s">
        <v>35</v>
      </c>
      <c r="X9" s="7" t="s">
        <v>34</v>
      </c>
      <c r="Y9" s="8" t="s">
        <v>33</v>
      </c>
      <c r="Z9" s="7" t="s">
        <v>36</v>
      </c>
      <c r="AA9" s="8" t="s">
        <v>37</v>
      </c>
      <c r="AB9" s="9">
        <f t="shared" si="0"/>
        <v>0.10069800000000001</v>
      </c>
    </row>
    <row r="10" spans="1:28" x14ac:dyDescent="0.35">
      <c r="A10" s="4">
        <v>4393</v>
      </c>
      <c r="B10" s="5" t="s">
        <v>29</v>
      </c>
      <c r="C10" s="6">
        <v>43617</v>
      </c>
      <c r="D10" s="7">
        <v>138</v>
      </c>
      <c r="E10" s="8" t="s">
        <v>55</v>
      </c>
      <c r="F10" s="7" t="s">
        <v>76</v>
      </c>
      <c r="G10" s="8" t="s">
        <v>77</v>
      </c>
      <c r="H10" s="7" t="str">
        <f>"000345"</f>
        <v>000345</v>
      </c>
      <c r="I10" s="6">
        <v>43433</v>
      </c>
      <c r="J10" s="7" t="str">
        <f>"000154"</f>
        <v>000154</v>
      </c>
      <c r="K10" s="6">
        <v>43476</v>
      </c>
      <c r="L10" s="7" t="str">
        <f>"000325"</f>
        <v>000325</v>
      </c>
      <c r="M10" s="6">
        <v>43476</v>
      </c>
      <c r="N10" s="7">
        <v>19</v>
      </c>
      <c r="O10" s="7" t="str">
        <f>"001909"</f>
        <v>001909</v>
      </c>
      <c r="P10" s="6">
        <v>43607</v>
      </c>
      <c r="Q10" s="9">
        <v>49.906289999999998</v>
      </c>
      <c r="R10" s="9">
        <v>5.6393800000000001</v>
      </c>
      <c r="S10" s="9">
        <v>44.266910000000003</v>
      </c>
      <c r="T10" s="7">
        <v>67</v>
      </c>
      <c r="U10" s="6">
        <v>43617</v>
      </c>
      <c r="V10" s="7">
        <v>9731804566</v>
      </c>
      <c r="W10" s="8" t="s">
        <v>48</v>
      </c>
      <c r="X10" s="7" t="s">
        <v>46</v>
      </c>
      <c r="Y10" s="8" t="s">
        <v>47</v>
      </c>
      <c r="Z10" s="7" t="s">
        <v>51</v>
      </c>
      <c r="AA10" s="8" t="s">
        <v>52</v>
      </c>
      <c r="AB10" s="9">
        <v>0.49906289999999998</v>
      </c>
    </row>
    <row r="11" spans="1:28" x14ac:dyDescent="0.35">
      <c r="A11" s="4">
        <v>4394</v>
      </c>
      <c r="B11" s="5" t="s">
        <v>29</v>
      </c>
      <c r="C11" s="6">
        <v>43628</v>
      </c>
      <c r="D11" s="7">
        <v>138</v>
      </c>
      <c r="E11" s="8" t="s">
        <v>55</v>
      </c>
      <c r="F11" s="7" t="s">
        <v>78</v>
      </c>
      <c r="G11" s="8" t="s">
        <v>79</v>
      </c>
      <c r="H11" s="7" t="str">
        <f>"000035"</f>
        <v>000035</v>
      </c>
      <c r="I11" s="6">
        <v>43071</v>
      </c>
      <c r="J11" s="7" t="str">
        <f>"000010"</f>
        <v>000010</v>
      </c>
      <c r="K11" s="6">
        <v>43072</v>
      </c>
      <c r="L11" s="7" t="str">
        <f>"000051"</f>
        <v>000051</v>
      </c>
      <c r="M11" s="6">
        <v>43080</v>
      </c>
      <c r="N11" s="7">
        <v>17</v>
      </c>
      <c r="O11" s="7" t="str">
        <f>"002450"</f>
        <v>002450</v>
      </c>
      <c r="P11" s="6">
        <v>43622</v>
      </c>
      <c r="Q11" s="9">
        <v>20.956569999999999</v>
      </c>
      <c r="R11" s="9">
        <v>2.4081000000000001</v>
      </c>
      <c r="S11" s="9">
        <v>18.548469999999998</v>
      </c>
      <c r="T11" s="7">
        <v>76</v>
      </c>
      <c r="U11" s="6">
        <v>43628</v>
      </c>
      <c r="V11" s="7">
        <v>9731804566</v>
      </c>
      <c r="W11" s="8" t="s">
        <v>80</v>
      </c>
      <c r="X11" s="7" t="s">
        <v>68</v>
      </c>
      <c r="Y11" s="8" t="s">
        <v>69</v>
      </c>
      <c r="Z11" s="7" t="s">
        <v>51</v>
      </c>
      <c r="AA11" s="8" t="s">
        <v>52</v>
      </c>
      <c r="AB11" s="9">
        <v>0.20956569999999999</v>
      </c>
    </row>
    <row r="12" spans="1:28" x14ac:dyDescent="0.35">
      <c r="A12" s="4">
        <v>4395</v>
      </c>
      <c r="B12" s="5" t="s">
        <v>29</v>
      </c>
      <c r="C12" s="6">
        <v>43628</v>
      </c>
      <c r="D12" s="7">
        <v>138</v>
      </c>
      <c r="E12" s="8" t="s">
        <v>55</v>
      </c>
      <c r="F12" s="7" t="s">
        <v>81</v>
      </c>
      <c r="G12" s="8" t="s">
        <v>82</v>
      </c>
      <c r="H12" s="7" t="str">
        <f>"000036"</f>
        <v>000036</v>
      </c>
      <c r="I12" s="6">
        <v>43071</v>
      </c>
      <c r="J12" s="7" t="str">
        <f>"000011"</f>
        <v>000011</v>
      </c>
      <c r="K12" s="6">
        <v>43072</v>
      </c>
      <c r="L12" s="7" t="str">
        <f>"000052"</f>
        <v>000052</v>
      </c>
      <c r="M12" s="6">
        <v>43080</v>
      </c>
      <c r="N12" s="7">
        <v>17</v>
      </c>
      <c r="O12" s="7" t="str">
        <f>"002452"</f>
        <v>002452</v>
      </c>
      <c r="P12" s="6">
        <v>43622</v>
      </c>
      <c r="Q12" s="9">
        <v>20.971170000000001</v>
      </c>
      <c r="R12" s="9">
        <v>2.3907699999999998</v>
      </c>
      <c r="S12" s="9">
        <v>18.580400000000001</v>
      </c>
      <c r="T12" s="7">
        <v>76</v>
      </c>
      <c r="U12" s="6">
        <v>43628</v>
      </c>
      <c r="V12" s="7">
        <v>9731804566</v>
      </c>
      <c r="W12" s="8" t="s">
        <v>80</v>
      </c>
      <c r="X12" s="7" t="s">
        <v>42</v>
      </c>
      <c r="Y12" s="8" t="s">
        <v>43</v>
      </c>
      <c r="Z12" s="7" t="s">
        <v>51</v>
      </c>
      <c r="AA12" s="8" t="s">
        <v>52</v>
      </c>
      <c r="AB12" s="9">
        <v>0.2097117</v>
      </c>
    </row>
    <row r="13" spans="1:28" x14ac:dyDescent="0.35">
      <c r="A13" s="4">
        <v>4396</v>
      </c>
      <c r="B13" s="5" t="s">
        <v>29</v>
      </c>
      <c r="C13" s="6">
        <v>43628</v>
      </c>
      <c r="D13" s="7">
        <v>138</v>
      </c>
      <c r="E13" s="8" t="s">
        <v>55</v>
      </c>
      <c r="F13" s="7" t="s">
        <v>83</v>
      </c>
      <c r="G13" s="8" t="s">
        <v>84</v>
      </c>
      <c r="H13" s="7" t="str">
        <f>"000037"</f>
        <v>000037</v>
      </c>
      <c r="I13" s="6">
        <v>43071</v>
      </c>
      <c r="J13" s="7" t="str">
        <f>"000012"</f>
        <v>000012</v>
      </c>
      <c r="K13" s="6">
        <v>43072</v>
      </c>
      <c r="L13" s="7" t="str">
        <f>"000053"</f>
        <v>000053</v>
      </c>
      <c r="M13" s="6">
        <v>43080</v>
      </c>
      <c r="N13" s="7">
        <v>17</v>
      </c>
      <c r="O13" s="7" t="str">
        <f>"002453"</f>
        <v>002453</v>
      </c>
      <c r="P13" s="6">
        <v>43622</v>
      </c>
      <c r="Q13" s="9">
        <v>20.957429999999999</v>
      </c>
      <c r="R13" s="9">
        <v>2.3891300000000002</v>
      </c>
      <c r="S13" s="9">
        <v>18.568300000000001</v>
      </c>
      <c r="T13" s="7">
        <v>76</v>
      </c>
      <c r="U13" s="6">
        <v>43628</v>
      </c>
      <c r="V13" s="7">
        <v>9731804566</v>
      </c>
      <c r="W13" s="8" t="s">
        <v>80</v>
      </c>
      <c r="X13" s="7" t="s">
        <v>42</v>
      </c>
      <c r="Y13" s="8" t="s">
        <v>43</v>
      </c>
      <c r="Z13" s="7" t="s">
        <v>51</v>
      </c>
      <c r="AA13" s="8" t="s">
        <v>52</v>
      </c>
      <c r="AB13" s="9">
        <v>0.20957429999999999</v>
      </c>
    </row>
    <row r="14" spans="1:28" x14ac:dyDescent="0.35">
      <c r="A14" s="4">
        <v>4397</v>
      </c>
      <c r="B14" s="5" t="s">
        <v>29</v>
      </c>
      <c r="C14" s="6">
        <v>43634</v>
      </c>
      <c r="D14" s="7">
        <v>138</v>
      </c>
      <c r="E14" s="8" t="s">
        <v>55</v>
      </c>
      <c r="F14" s="7" t="s">
        <v>85</v>
      </c>
      <c r="G14" s="8" t="s">
        <v>86</v>
      </c>
      <c r="H14" s="7" t="str">
        <f>"000068"</f>
        <v>000068</v>
      </c>
      <c r="I14" s="6">
        <v>43098</v>
      </c>
      <c r="J14" s="7" t="str">
        <f>"000027"</f>
        <v>000027</v>
      </c>
      <c r="K14" s="6">
        <v>43098</v>
      </c>
      <c r="L14" s="7" t="str">
        <f>"000060"</f>
        <v>000060</v>
      </c>
      <c r="M14" s="6">
        <v>43098</v>
      </c>
      <c r="N14" s="7">
        <v>17</v>
      </c>
      <c r="O14" s="7" t="str">
        <f>"002651"</f>
        <v>002651</v>
      </c>
      <c r="P14" s="6">
        <v>43628</v>
      </c>
      <c r="Q14" s="9">
        <v>20.94369</v>
      </c>
      <c r="R14" s="9">
        <v>2.3563399999999999</v>
      </c>
      <c r="S14" s="9">
        <v>18.587350000000001</v>
      </c>
      <c r="T14" s="7">
        <v>88</v>
      </c>
      <c r="U14" s="6">
        <v>43634</v>
      </c>
      <c r="V14" s="7">
        <v>9731804566</v>
      </c>
      <c r="W14" s="8" t="s">
        <v>87</v>
      </c>
      <c r="X14" s="7" t="s">
        <v>42</v>
      </c>
      <c r="Y14" s="8" t="s">
        <v>43</v>
      </c>
      <c r="Z14" s="7" t="s">
        <v>51</v>
      </c>
      <c r="AA14" s="8" t="s">
        <v>52</v>
      </c>
      <c r="AB14" s="9">
        <v>0.20943690000000001</v>
      </c>
    </row>
    <row r="15" spans="1:28" x14ac:dyDescent="0.35">
      <c r="A15" s="4">
        <v>4398</v>
      </c>
      <c r="B15" s="5" t="s">
        <v>29</v>
      </c>
      <c r="C15" s="6">
        <v>43641</v>
      </c>
      <c r="D15" s="7">
        <v>138</v>
      </c>
      <c r="E15" s="8" t="s">
        <v>55</v>
      </c>
      <c r="F15" s="7" t="s">
        <v>88</v>
      </c>
      <c r="G15" s="8" t="s">
        <v>89</v>
      </c>
      <c r="H15" s="7" t="str">
        <f>"000568"</f>
        <v>000568</v>
      </c>
      <c r="I15" s="6">
        <v>43531</v>
      </c>
      <c r="J15" s="7" t="str">
        <f>"000030"</f>
        <v>000030</v>
      </c>
      <c r="K15" s="6">
        <v>43606</v>
      </c>
      <c r="L15" s="7" t="str">
        <f>"000053"</f>
        <v>000053</v>
      </c>
      <c r="M15" s="6">
        <v>43606</v>
      </c>
      <c r="N15" s="7">
        <v>19</v>
      </c>
      <c r="O15" s="7" t="str">
        <f>"002832"</f>
        <v>002832</v>
      </c>
      <c r="P15" s="6">
        <v>43635</v>
      </c>
      <c r="Q15" s="9">
        <v>5.2522799999999998</v>
      </c>
      <c r="R15" s="9">
        <v>0.19494</v>
      </c>
      <c r="S15" s="9">
        <v>5.0573399999999999</v>
      </c>
      <c r="T15" s="7">
        <v>93</v>
      </c>
      <c r="U15" s="6">
        <v>43641</v>
      </c>
      <c r="V15" s="7">
        <v>9731804566</v>
      </c>
      <c r="W15" s="8" t="s">
        <v>90</v>
      </c>
      <c r="X15" s="7" t="s">
        <v>49</v>
      </c>
      <c r="Y15" s="8" t="s">
        <v>50</v>
      </c>
      <c r="Z15" s="7" t="s">
        <v>51</v>
      </c>
      <c r="AA15" s="8" t="s">
        <v>52</v>
      </c>
      <c r="AB15" s="9">
        <v>5.2522800000000001E-2</v>
      </c>
    </row>
    <row r="16" spans="1:28" x14ac:dyDescent="0.35">
      <c r="A16" s="4">
        <v>4399</v>
      </c>
      <c r="B16" s="5" t="s">
        <v>29</v>
      </c>
      <c r="C16" s="6">
        <v>43641</v>
      </c>
      <c r="D16" s="7">
        <v>138</v>
      </c>
      <c r="E16" s="8" t="s">
        <v>55</v>
      </c>
      <c r="F16" s="7" t="s">
        <v>91</v>
      </c>
      <c r="G16" s="8" t="s">
        <v>92</v>
      </c>
      <c r="H16" s="7" t="str">
        <f>"000569"</f>
        <v>000569</v>
      </c>
      <c r="I16" s="6">
        <v>43531</v>
      </c>
      <c r="J16" s="7" t="str">
        <f>"000031"</f>
        <v>000031</v>
      </c>
      <c r="K16" s="6">
        <v>43606</v>
      </c>
      <c r="L16" s="7" t="str">
        <f>"000052"</f>
        <v>000052</v>
      </c>
      <c r="M16" s="6">
        <v>43606</v>
      </c>
      <c r="N16" s="7">
        <v>19</v>
      </c>
      <c r="O16" s="7" t="str">
        <f>"002833"</f>
        <v>002833</v>
      </c>
      <c r="P16" s="6">
        <v>43635</v>
      </c>
      <c r="Q16" s="9">
        <v>2.6207400000000001</v>
      </c>
      <c r="R16" s="9">
        <v>9.5890000000000003E-2</v>
      </c>
      <c r="S16" s="9">
        <v>2.5248499999999998</v>
      </c>
      <c r="T16" s="7">
        <v>93</v>
      </c>
      <c r="U16" s="6">
        <v>43641</v>
      </c>
      <c r="V16" s="7">
        <v>9731804566</v>
      </c>
      <c r="W16" s="8" t="s">
        <v>90</v>
      </c>
      <c r="X16" s="7" t="s">
        <v>38</v>
      </c>
      <c r="Y16" s="8" t="s">
        <v>39</v>
      </c>
      <c r="Z16" s="7" t="s">
        <v>51</v>
      </c>
      <c r="AA16" s="8" t="s">
        <v>52</v>
      </c>
      <c r="AB16" s="9">
        <v>2.6207400000000002E-2</v>
      </c>
    </row>
    <row r="17" spans="1:28" x14ac:dyDescent="0.35">
      <c r="A17" s="4">
        <v>4400</v>
      </c>
      <c r="B17" s="5" t="s">
        <v>29</v>
      </c>
      <c r="C17" s="6">
        <v>43641</v>
      </c>
      <c r="D17" s="7">
        <v>138</v>
      </c>
      <c r="E17" s="8" t="s">
        <v>55</v>
      </c>
      <c r="F17" s="7" t="s">
        <v>93</v>
      </c>
      <c r="G17" s="8" t="s">
        <v>94</v>
      </c>
      <c r="H17" s="7" t="str">
        <f>"000576"</f>
        <v>000576</v>
      </c>
      <c r="I17" s="6">
        <v>43531</v>
      </c>
      <c r="J17" s="7" t="str">
        <f>"000032"</f>
        <v>000032</v>
      </c>
      <c r="K17" s="6">
        <v>43606</v>
      </c>
      <c r="L17" s="7" t="str">
        <f>"000061"</f>
        <v>000061</v>
      </c>
      <c r="M17" s="6">
        <v>43607</v>
      </c>
      <c r="N17" s="7">
        <v>19</v>
      </c>
      <c r="O17" s="7" t="str">
        <f>"002837"</f>
        <v>002837</v>
      </c>
      <c r="P17" s="6">
        <v>43635</v>
      </c>
      <c r="Q17" s="9">
        <v>2.05158</v>
      </c>
      <c r="R17" s="9">
        <v>8.1269999999999995E-2</v>
      </c>
      <c r="S17" s="9">
        <v>1.97031</v>
      </c>
      <c r="T17" s="7">
        <v>93</v>
      </c>
      <c r="U17" s="6">
        <v>43641</v>
      </c>
      <c r="V17" s="7">
        <v>9731804566</v>
      </c>
      <c r="W17" s="8" t="s">
        <v>58</v>
      </c>
      <c r="X17" s="7" t="s">
        <v>40</v>
      </c>
      <c r="Y17" s="8" t="s">
        <v>41</v>
      </c>
      <c r="Z17" s="7" t="s">
        <v>51</v>
      </c>
      <c r="AA17" s="8" t="s">
        <v>52</v>
      </c>
      <c r="AB17" s="9">
        <v>2.0515800000000001E-2</v>
      </c>
    </row>
    <row r="18" spans="1:28" x14ac:dyDescent="0.35">
      <c r="A18" s="4">
        <v>4401</v>
      </c>
      <c r="B18" s="5" t="s">
        <v>29</v>
      </c>
      <c r="C18" s="6">
        <v>43641</v>
      </c>
      <c r="D18" s="7">
        <v>138</v>
      </c>
      <c r="E18" s="8" t="s">
        <v>55</v>
      </c>
      <c r="F18" s="7" t="s">
        <v>95</v>
      </c>
      <c r="G18" s="8" t="s">
        <v>96</v>
      </c>
      <c r="H18" s="7" t="str">
        <f>"000573"</f>
        <v>000573</v>
      </c>
      <c r="I18" s="6">
        <v>43531</v>
      </c>
      <c r="J18" s="7" t="str">
        <f>"000034"</f>
        <v>000034</v>
      </c>
      <c r="K18" s="6">
        <v>43606</v>
      </c>
      <c r="L18" s="7" t="str">
        <f>"000057"</f>
        <v>000057</v>
      </c>
      <c r="M18" s="6">
        <v>43607</v>
      </c>
      <c r="N18" s="7">
        <v>19</v>
      </c>
      <c r="O18" s="7" t="str">
        <f>"002838"</f>
        <v>002838</v>
      </c>
      <c r="P18" s="6">
        <v>43635</v>
      </c>
      <c r="Q18" s="9">
        <v>6.3915499999999996</v>
      </c>
      <c r="R18" s="9">
        <v>0.26213999999999998</v>
      </c>
      <c r="S18" s="9">
        <v>6.12941</v>
      </c>
      <c r="T18" s="7">
        <v>93</v>
      </c>
      <c r="U18" s="6">
        <v>43641</v>
      </c>
      <c r="V18" s="7">
        <v>9731804566</v>
      </c>
      <c r="W18" s="8" t="s">
        <v>97</v>
      </c>
      <c r="X18" s="7" t="s">
        <v>44</v>
      </c>
      <c r="Y18" s="8" t="s">
        <v>45</v>
      </c>
      <c r="Z18" s="7" t="s">
        <v>51</v>
      </c>
      <c r="AA18" s="8" t="s">
        <v>52</v>
      </c>
      <c r="AB18" s="9">
        <v>6.39155E-2</v>
      </c>
    </row>
    <row r="19" spans="1:28" x14ac:dyDescent="0.35">
      <c r="A19" s="4">
        <v>4402</v>
      </c>
      <c r="B19" s="5" t="s">
        <v>29</v>
      </c>
      <c r="C19" s="6">
        <v>43641</v>
      </c>
      <c r="D19" s="7">
        <v>138</v>
      </c>
      <c r="E19" s="8" t="s">
        <v>55</v>
      </c>
      <c r="F19" s="7" t="s">
        <v>98</v>
      </c>
      <c r="G19" s="8" t="s">
        <v>99</v>
      </c>
      <c r="H19" s="7" t="str">
        <f>"000575"</f>
        <v>000575</v>
      </c>
      <c r="I19" s="6">
        <v>43531</v>
      </c>
      <c r="J19" s="7" t="str">
        <f>"000035"</f>
        <v>000035</v>
      </c>
      <c r="K19" s="6">
        <v>43606</v>
      </c>
      <c r="L19" s="7" t="str">
        <f>"000058"</f>
        <v>000058</v>
      </c>
      <c r="M19" s="6">
        <v>43607</v>
      </c>
      <c r="N19" s="7">
        <v>19</v>
      </c>
      <c r="O19" s="7" t="str">
        <f>"002839"</f>
        <v>002839</v>
      </c>
      <c r="P19" s="6">
        <v>43635</v>
      </c>
      <c r="Q19" s="9">
        <v>4.02135</v>
      </c>
      <c r="R19" s="9">
        <v>0.16819000000000001</v>
      </c>
      <c r="S19" s="9">
        <v>3.8531599999999999</v>
      </c>
      <c r="T19" s="7">
        <v>93</v>
      </c>
      <c r="U19" s="6">
        <v>43641</v>
      </c>
      <c r="V19" s="7">
        <v>9731804566</v>
      </c>
      <c r="W19" s="8" t="s">
        <v>58</v>
      </c>
      <c r="X19" s="7" t="s">
        <v>53</v>
      </c>
      <c r="Y19" s="8" t="s">
        <v>54</v>
      </c>
      <c r="Z19" s="7" t="s">
        <v>51</v>
      </c>
      <c r="AA19" s="8" t="s">
        <v>52</v>
      </c>
      <c r="AB19" s="9">
        <v>4.0213499999999999E-2</v>
      </c>
    </row>
    <row r="20" spans="1:28" x14ac:dyDescent="0.35">
      <c r="A20" s="4">
        <v>4403</v>
      </c>
      <c r="B20" s="5" t="s">
        <v>100</v>
      </c>
      <c r="C20" s="6">
        <v>43650</v>
      </c>
      <c r="D20" s="7">
        <v>138</v>
      </c>
      <c r="E20" s="8" t="s">
        <v>55</v>
      </c>
      <c r="F20" s="7" t="s">
        <v>101</v>
      </c>
      <c r="G20" s="10" t="s">
        <v>102</v>
      </c>
      <c r="H20" s="7" t="str">
        <f>"000570"</f>
        <v>000570</v>
      </c>
      <c r="I20" s="6">
        <v>43531</v>
      </c>
      <c r="J20" s="7" t="str">
        <f>"000033"</f>
        <v>000033</v>
      </c>
      <c r="K20" s="6">
        <v>43606</v>
      </c>
      <c r="L20" s="7" t="str">
        <f>"000056"</f>
        <v>000056</v>
      </c>
      <c r="M20" s="6">
        <v>43607</v>
      </c>
      <c r="N20" s="7">
        <v>19</v>
      </c>
      <c r="O20" s="7" t="str">
        <f>"003101"</f>
        <v>003101</v>
      </c>
      <c r="P20" s="6">
        <v>43641</v>
      </c>
      <c r="Q20" s="11">
        <v>10.463509999999999</v>
      </c>
      <c r="R20" s="11">
        <v>0.44522</v>
      </c>
      <c r="S20" s="11">
        <v>10.01829</v>
      </c>
      <c r="T20" s="7">
        <v>106</v>
      </c>
      <c r="U20" s="6">
        <v>43650</v>
      </c>
      <c r="V20" s="7">
        <v>9731804566</v>
      </c>
      <c r="W20" s="10" t="s">
        <v>58</v>
      </c>
      <c r="X20" s="7" t="s">
        <v>103</v>
      </c>
      <c r="Y20" s="10" t="s">
        <v>104</v>
      </c>
      <c r="Z20" s="7" t="s">
        <v>51</v>
      </c>
      <c r="AA20" s="10" t="s">
        <v>52</v>
      </c>
      <c r="AB20" s="11">
        <f t="shared" ref="AB20:AB27" si="1">Q20/100</f>
        <v>0.10463509999999999</v>
      </c>
    </row>
    <row r="21" spans="1:28" x14ac:dyDescent="0.35">
      <c r="A21" s="4">
        <v>4404</v>
      </c>
      <c r="B21" s="5" t="s">
        <v>105</v>
      </c>
      <c r="C21" s="6">
        <v>43685</v>
      </c>
      <c r="D21" s="7">
        <v>138</v>
      </c>
      <c r="E21" s="8" t="s">
        <v>55</v>
      </c>
      <c r="F21" s="7" t="s">
        <v>106</v>
      </c>
      <c r="G21" s="10" t="s">
        <v>107</v>
      </c>
      <c r="H21" s="7" t="str">
        <f>"000148"</f>
        <v>000148</v>
      </c>
      <c r="I21" s="6">
        <v>43311</v>
      </c>
      <c r="J21" s="7" t="str">
        <f>"000078"</f>
        <v>000078</v>
      </c>
      <c r="K21" s="6">
        <v>43312</v>
      </c>
      <c r="L21" s="7" t="str">
        <f>"000149"</f>
        <v>000149</v>
      </c>
      <c r="M21" s="6">
        <v>43312</v>
      </c>
      <c r="N21" s="7">
        <v>18</v>
      </c>
      <c r="O21" s="7" t="str">
        <f>"004257"</f>
        <v>004257</v>
      </c>
      <c r="P21" s="6">
        <v>43680</v>
      </c>
      <c r="Q21" s="11">
        <v>39.045270000000002</v>
      </c>
      <c r="R21" s="11">
        <v>4.4570800000000004</v>
      </c>
      <c r="S21" s="11">
        <v>34.588189999999997</v>
      </c>
      <c r="T21" s="7">
        <v>145</v>
      </c>
      <c r="U21" s="6">
        <v>43685</v>
      </c>
      <c r="V21" s="7">
        <v>9731804566</v>
      </c>
      <c r="W21" s="10" t="s">
        <v>90</v>
      </c>
      <c r="X21" s="7" t="s">
        <v>108</v>
      </c>
      <c r="Y21" s="10" t="s">
        <v>109</v>
      </c>
      <c r="Z21" s="7" t="s">
        <v>51</v>
      </c>
      <c r="AA21" s="10" t="s">
        <v>52</v>
      </c>
      <c r="AB21" s="11">
        <f t="shared" si="1"/>
        <v>0.39045270000000004</v>
      </c>
    </row>
    <row r="22" spans="1:28" x14ac:dyDescent="0.35">
      <c r="A22" s="4">
        <v>4405</v>
      </c>
      <c r="B22" s="5" t="s">
        <v>105</v>
      </c>
      <c r="C22" s="6">
        <v>43685</v>
      </c>
      <c r="D22" s="7">
        <v>138</v>
      </c>
      <c r="E22" s="8" t="s">
        <v>55</v>
      </c>
      <c r="F22" s="7" t="s">
        <v>110</v>
      </c>
      <c r="G22" s="10" t="s">
        <v>111</v>
      </c>
      <c r="H22" s="7" t="str">
        <f>"000149"</f>
        <v>000149</v>
      </c>
      <c r="I22" s="6">
        <v>43311</v>
      </c>
      <c r="J22" s="7" t="str">
        <f>"000079"</f>
        <v>000079</v>
      </c>
      <c r="K22" s="6">
        <v>43312</v>
      </c>
      <c r="L22" s="7" t="str">
        <f>"000150"</f>
        <v>000150</v>
      </c>
      <c r="M22" s="6">
        <v>43312</v>
      </c>
      <c r="N22" s="7">
        <v>17</v>
      </c>
      <c r="O22" s="7" t="str">
        <f>"004258"</f>
        <v>004258</v>
      </c>
      <c r="P22" s="6">
        <v>43680</v>
      </c>
      <c r="Q22" s="11">
        <v>19.89029</v>
      </c>
      <c r="R22" s="11">
        <v>2.0739000000000001</v>
      </c>
      <c r="S22" s="11">
        <v>17.816389999999998</v>
      </c>
      <c r="T22" s="7">
        <v>145</v>
      </c>
      <c r="U22" s="6">
        <v>43685</v>
      </c>
      <c r="V22" s="7">
        <v>9731804566</v>
      </c>
      <c r="W22" s="10" t="s">
        <v>90</v>
      </c>
      <c r="X22" s="7" t="s">
        <v>30</v>
      </c>
      <c r="Y22" s="10" t="s">
        <v>31</v>
      </c>
      <c r="Z22" s="7" t="s">
        <v>51</v>
      </c>
      <c r="AA22" s="10" t="s">
        <v>52</v>
      </c>
      <c r="AB22" s="11">
        <f t="shared" si="1"/>
        <v>0.19890289999999999</v>
      </c>
    </row>
    <row r="23" spans="1:28" x14ac:dyDescent="0.35">
      <c r="A23" s="4">
        <v>4406</v>
      </c>
      <c r="B23" s="5" t="s">
        <v>105</v>
      </c>
      <c r="C23" s="6">
        <v>43685</v>
      </c>
      <c r="D23" s="7">
        <v>138</v>
      </c>
      <c r="E23" s="8" t="s">
        <v>55</v>
      </c>
      <c r="F23" s="7" t="s">
        <v>112</v>
      </c>
      <c r="G23" s="10" t="s">
        <v>113</v>
      </c>
      <c r="H23" s="7" t="str">
        <f>"000147"</f>
        <v>000147</v>
      </c>
      <c r="I23" s="6">
        <v>43311</v>
      </c>
      <c r="J23" s="7" t="str">
        <f>"000080"</f>
        <v>000080</v>
      </c>
      <c r="K23" s="6">
        <v>43312</v>
      </c>
      <c r="L23" s="7" t="str">
        <f>"000151"</f>
        <v>000151</v>
      </c>
      <c r="M23" s="6">
        <v>43312</v>
      </c>
      <c r="N23" s="7">
        <v>18</v>
      </c>
      <c r="O23" s="7" t="str">
        <f>"004259"</f>
        <v>004259</v>
      </c>
      <c r="P23" s="6">
        <v>43680</v>
      </c>
      <c r="Q23" s="11">
        <v>40.078960000000002</v>
      </c>
      <c r="R23" s="11">
        <v>4.5889499999999996</v>
      </c>
      <c r="S23" s="11">
        <v>35.490009999999998</v>
      </c>
      <c r="T23" s="7">
        <v>145</v>
      </c>
      <c r="U23" s="6">
        <v>43685</v>
      </c>
      <c r="V23" s="7">
        <v>9731804566</v>
      </c>
      <c r="W23" s="10" t="s">
        <v>58</v>
      </c>
      <c r="X23" s="7" t="s">
        <v>114</v>
      </c>
      <c r="Y23" s="10" t="s">
        <v>115</v>
      </c>
      <c r="Z23" s="7" t="s">
        <v>51</v>
      </c>
      <c r="AA23" s="10" t="s">
        <v>52</v>
      </c>
      <c r="AB23" s="11">
        <f t="shared" si="1"/>
        <v>0.40078960000000002</v>
      </c>
    </row>
    <row r="24" spans="1:28" x14ac:dyDescent="0.35">
      <c r="A24" s="4">
        <v>4407</v>
      </c>
      <c r="B24" s="5" t="s">
        <v>105</v>
      </c>
      <c r="C24" s="6">
        <v>43704</v>
      </c>
      <c r="D24" s="7">
        <v>138</v>
      </c>
      <c r="E24" s="8" t="s">
        <v>55</v>
      </c>
      <c r="F24" s="7" t="s">
        <v>116</v>
      </c>
      <c r="G24" s="10" t="s">
        <v>117</v>
      </c>
      <c r="H24" s="7" t="str">
        <f>"000261"</f>
        <v>000261</v>
      </c>
      <c r="I24" s="6">
        <v>43186</v>
      </c>
      <c r="J24" s="7" t="str">
        <f>"000091"</f>
        <v>000091</v>
      </c>
      <c r="K24" s="6">
        <v>43186</v>
      </c>
      <c r="L24" s="7" t="str">
        <f>"000253"</f>
        <v>000253</v>
      </c>
      <c r="M24" s="6">
        <v>43187</v>
      </c>
      <c r="N24" s="7">
        <v>17</v>
      </c>
      <c r="O24" s="7" t="str">
        <f>"004529"</f>
        <v>004529</v>
      </c>
      <c r="P24" s="6">
        <v>43693</v>
      </c>
      <c r="Q24" s="11">
        <v>34.834200000000003</v>
      </c>
      <c r="R24" s="11">
        <v>3.9354100000000001</v>
      </c>
      <c r="S24" s="11">
        <v>30.898790000000002</v>
      </c>
      <c r="T24" s="7">
        <v>166</v>
      </c>
      <c r="U24" s="6">
        <v>43704</v>
      </c>
      <c r="V24" s="7">
        <v>9731804566</v>
      </c>
      <c r="W24" s="10" t="s">
        <v>118</v>
      </c>
      <c r="X24" s="7" t="s">
        <v>42</v>
      </c>
      <c r="Y24" s="10" t="s">
        <v>43</v>
      </c>
      <c r="Z24" s="7" t="s">
        <v>51</v>
      </c>
      <c r="AA24" s="10" t="s">
        <v>52</v>
      </c>
      <c r="AB24" s="11">
        <f t="shared" si="1"/>
        <v>0.34834200000000004</v>
      </c>
    </row>
    <row r="25" spans="1:28" x14ac:dyDescent="0.35">
      <c r="A25" s="4">
        <v>4408</v>
      </c>
      <c r="B25" s="5" t="s">
        <v>105</v>
      </c>
      <c r="C25" s="6">
        <v>43704</v>
      </c>
      <c r="D25" s="7">
        <v>138</v>
      </c>
      <c r="E25" s="8" t="s">
        <v>55</v>
      </c>
      <c r="F25" s="7" t="s">
        <v>119</v>
      </c>
      <c r="G25" s="10" t="s">
        <v>120</v>
      </c>
      <c r="H25" s="7" t="str">
        <f>"000263"</f>
        <v>000263</v>
      </c>
      <c r="I25" s="6">
        <v>43186</v>
      </c>
      <c r="J25" s="7" t="str">
        <f>"000093"</f>
        <v>000093</v>
      </c>
      <c r="K25" s="6">
        <v>43186</v>
      </c>
      <c r="L25" s="7" t="str">
        <f>"000255"</f>
        <v>000255</v>
      </c>
      <c r="M25" s="6">
        <v>43187</v>
      </c>
      <c r="N25" s="7">
        <v>16</v>
      </c>
      <c r="O25" s="7" t="str">
        <f>"004530"</f>
        <v>004530</v>
      </c>
      <c r="P25" s="6">
        <v>43693</v>
      </c>
      <c r="Q25" s="11">
        <v>4.9386599999999996</v>
      </c>
      <c r="R25" s="11">
        <v>0.47642000000000001</v>
      </c>
      <c r="S25" s="11">
        <v>4.4622400000000004</v>
      </c>
      <c r="T25" s="7">
        <v>166</v>
      </c>
      <c r="U25" s="6">
        <v>43704</v>
      </c>
      <c r="V25" s="7">
        <v>9731804566</v>
      </c>
      <c r="W25" s="10" t="s">
        <v>97</v>
      </c>
      <c r="X25" s="7" t="s">
        <v>30</v>
      </c>
      <c r="Y25" s="10" t="s">
        <v>31</v>
      </c>
      <c r="Z25" s="7" t="s">
        <v>51</v>
      </c>
      <c r="AA25" s="10" t="s">
        <v>52</v>
      </c>
      <c r="AB25" s="11">
        <f t="shared" si="1"/>
        <v>4.9386599999999996E-2</v>
      </c>
    </row>
    <row r="26" spans="1:28" x14ac:dyDescent="0.35">
      <c r="A26" s="4">
        <v>4409</v>
      </c>
      <c r="B26" s="5" t="s">
        <v>121</v>
      </c>
      <c r="C26" s="6">
        <v>43719</v>
      </c>
      <c r="D26" s="7">
        <v>138</v>
      </c>
      <c r="E26" s="8" t="s">
        <v>55</v>
      </c>
      <c r="F26" s="7" t="s">
        <v>122</v>
      </c>
      <c r="G26" s="10" t="s">
        <v>123</v>
      </c>
      <c r="H26" s="7" t="str">
        <f>"000184"</f>
        <v>000184</v>
      </c>
      <c r="I26" s="6">
        <v>41675</v>
      </c>
      <c r="J26" s="7" t="str">
        <f>"000001"</f>
        <v>000001</v>
      </c>
      <c r="K26" s="6">
        <v>43567</v>
      </c>
      <c r="L26" s="7" t="str">
        <f>"000007"</f>
        <v>000007</v>
      </c>
      <c r="M26" s="6">
        <v>43567</v>
      </c>
      <c r="N26" s="7">
        <v>12</v>
      </c>
      <c r="O26" s="7" t="str">
        <f>"004567"</f>
        <v>004567</v>
      </c>
      <c r="P26" s="6">
        <v>43694</v>
      </c>
      <c r="Q26" s="11">
        <v>66.881230000000002</v>
      </c>
      <c r="R26" s="11">
        <v>7.91561</v>
      </c>
      <c r="S26" s="11">
        <v>58.965620000000001</v>
      </c>
      <c r="T26" s="7">
        <v>181</v>
      </c>
      <c r="U26" s="6">
        <v>43719</v>
      </c>
      <c r="V26" s="7">
        <v>9448236013</v>
      </c>
      <c r="W26" s="10" t="s">
        <v>124</v>
      </c>
      <c r="X26" s="7" t="s">
        <v>125</v>
      </c>
      <c r="Y26" s="10" t="s">
        <v>126</v>
      </c>
      <c r="Z26" s="7" t="s">
        <v>51</v>
      </c>
      <c r="AA26" s="10" t="s">
        <v>52</v>
      </c>
      <c r="AB26" s="11">
        <f t="shared" si="1"/>
        <v>0.66881230000000003</v>
      </c>
    </row>
    <row r="27" spans="1:28" x14ac:dyDescent="0.35">
      <c r="A27" s="4">
        <v>4410</v>
      </c>
      <c r="B27" s="5" t="s">
        <v>121</v>
      </c>
      <c r="C27" s="6">
        <v>43726</v>
      </c>
      <c r="D27" s="7">
        <v>138</v>
      </c>
      <c r="E27" s="8" t="s">
        <v>55</v>
      </c>
      <c r="F27" s="7" t="s">
        <v>127</v>
      </c>
      <c r="G27" s="10" t="s">
        <v>128</v>
      </c>
      <c r="H27" s="7" t="str">
        <f>"000042"</f>
        <v>000042</v>
      </c>
      <c r="I27" s="6">
        <v>43647</v>
      </c>
      <c r="J27" s="7" t="str">
        <f>"000048"</f>
        <v>000048</v>
      </c>
      <c r="K27" s="6">
        <v>43671</v>
      </c>
      <c r="L27" s="7" t="str">
        <f>"000127"</f>
        <v>000127</v>
      </c>
      <c r="M27" s="6">
        <v>43671</v>
      </c>
      <c r="N27" s="7">
        <v>19</v>
      </c>
      <c r="O27" s="7" t="str">
        <f>"005118"</f>
        <v>005118</v>
      </c>
      <c r="P27" s="6">
        <v>43720</v>
      </c>
      <c r="Q27" s="11">
        <v>6.2714999999999996</v>
      </c>
      <c r="R27" s="11">
        <v>0.25753999999999999</v>
      </c>
      <c r="S27" s="11">
        <v>6.01396</v>
      </c>
      <c r="T27" s="7">
        <v>191</v>
      </c>
      <c r="U27" s="6">
        <v>43726</v>
      </c>
      <c r="V27" s="7">
        <v>9731804566</v>
      </c>
      <c r="W27" s="10" t="s">
        <v>58</v>
      </c>
      <c r="X27" s="7" t="s">
        <v>129</v>
      </c>
      <c r="Y27" s="10" t="s">
        <v>130</v>
      </c>
      <c r="Z27" s="7" t="s">
        <v>51</v>
      </c>
      <c r="AA27" s="10" t="s">
        <v>52</v>
      </c>
      <c r="AB27" s="11">
        <f t="shared" si="1"/>
        <v>6.2714999999999993E-2</v>
      </c>
    </row>
    <row r="28" spans="1:28" x14ac:dyDescent="0.35">
      <c r="A28" s="4">
        <v>4411</v>
      </c>
      <c r="B28" s="5" t="s">
        <v>131</v>
      </c>
      <c r="C28" s="6">
        <v>43748</v>
      </c>
      <c r="D28" s="4">
        <v>138</v>
      </c>
      <c r="E28" s="8" t="s">
        <v>55</v>
      </c>
      <c r="F28" s="7" t="s">
        <v>132</v>
      </c>
      <c r="G28" s="8" t="s">
        <v>133</v>
      </c>
      <c r="H28" s="7" t="str">
        <f>"000007"</f>
        <v>000007</v>
      </c>
      <c r="I28" s="6">
        <v>43731</v>
      </c>
      <c r="J28" s="7" t="str">
        <f>"000013"</f>
        <v>000013</v>
      </c>
      <c r="K28" s="6">
        <v>43732</v>
      </c>
      <c r="L28" s="7" t="str">
        <f>"000104"</f>
        <v>000104</v>
      </c>
      <c r="M28" s="6">
        <v>43732</v>
      </c>
      <c r="N28" s="7">
        <v>18</v>
      </c>
      <c r="O28" s="7" t="str">
        <f>"005629"</f>
        <v>005629</v>
      </c>
      <c r="P28" s="6">
        <v>43741</v>
      </c>
      <c r="Q28" s="9">
        <v>60.01</v>
      </c>
      <c r="R28" s="9">
        <v>9.3005399999999998</v>
      </c>
      <c r="S28" s="9">
        <v>50.70946</v>
      </c>
      <c r="T28" s="7">
        <v>13</v>
      </c>
      <c r="U28" s="6">
        <v>43748</v>
      </c>
      <c r="V28" s="7">
        <v>9845216661</v>
      </c>
      <c r="W28" s="8" t="s">
        <v>134</v>
      </c>
      <c r="X28" s="7" t="s">
        <v>135</v>
      </c>
      <c r="Y28" s="8" t="s">
        <v>136</v>
      </c>
      <c r="Z28" s="7" t="s">
        <v>137</v>
      </c>
      <c r="AA28" s="8" t="s">
        <v>138</v>
      </c>
      <c r="AB28" s="9">
        <v>0.60009999999999997</v>
      </c>
    </row>
    <row r="29" spans="1:28" x14ac:dyDescent="0.35">
      <c r="A29" s="4">
        <v>4412</v>
      </c>
      <c r="B29" s="5" t="s">
        <v>131</v>
      </c>
      <c r="C29" s="6">
        <v>43748</v>
      </c>
      <c r="D29" s="4">
        <v>138</v>
      </c>
      <c r="E29" s="8" t="s">
        <v>55</v>
      </c>
      <c r="F29" s="7" t="s">
        <v>139</v>
      </c>
      <c r="G29" s="8" t="s">
        <v>140</v>
      </c>
      <c r="H29" s="7" t="str">
        <f>"000162"</f>
        <v>000162</v>
      </c>
      <c r="I29" s="6">
        <v>43339</v>
      </c>
      <c r="J29" s="7" t="str">
        <f>"000083"</f>
        <v>000083</v>
      </c>
      <c r="K29" s="6">
        <v>43341</v>
      </c>
      <c r="L29" s="7" t="str">
        <f>"000164"</f>
        <v>000164</v>
      </c>
      <c r="M29" s="6">
        <v>43341</v>
      </c>
      <c r="N29" s="7">
        <v>18</v>
      </c>
      <c r="O29" s="7" t="str">
        <f>"005624"</f>
        <v>005624</v>
      </c>
      <c r="P29" s="6">
        <v>43741</v>
      </c>
      <c r="Q29" s="9">
        <v>19.949459999999998</v>
      </c>
      <c r="R29" s="9">
        <v>0.97440000000000004</v>
      </c>
      <c r="S29" s="9">
        <v>18.975059999999999</v>
      </c>
      <c r="T29" s="7">
        <v>13</v>
      </c>
      <c r="U29" s="6">
        <v>43748</v>
      </c>
      <c r="V29" s="7">
        <v>9731804566</v>
      </c>
      <c r="W29" s="8" t="s">
        <v>97</v>
      </c>
      <c r="X29" s="7" t="s">
        <v>30</v>
      </c>
      <c r="Y29" s="8" t="s">
        <v>31</v>
      </c>
      <c r="Z29" s="7" t="s">
        <v>51</v>
      </c>
      <c r="AA29" s="8" t="s">
        <v>52</v>
      </c>
      <c r="AB29" s="9">
        <v>0.19949459999999999</v>
      </c>
    </row>
    <row r="30" spans="1:28" x14ac:dyDescent="0.35">
      <c r="A30" s="4">
        <v>4413</v>
      </c>
      <c r="B30" s="5" t="s">
        <v>131</v>
      </c>
      <c r="C30" s="6">
        <v>43749</v>
      </c>
      <c r="D30" s="4">
        <v>138</v>
      </c>
      <c r="E30" s="8" t="s">
        <v>55</v>
      </c>
      <c r="F30" s="7" t="s">
        <v>141</v>
      </c>
      <c r="G30" s="8" t="s">
        <v>142</v>
      </c>
      <c r="H30" s="7" t="str">
        <f>"000031"</f>
        <v>000031</v>
      </c>
      <c r="I30" s="6">
        <v>43626</v>
      </c>
      <c r="J30" s="7" t="str">
        <f>"000049"</f>
        <v>000049</v>
      </c>
      <c r="K30" s="6">
        <v>43672</v>
      </c>
      <c r="L30" s="7" t="str">
        <f>"000129"</f>
        <v>000129</v>
      </c>
      <c r="M30" s="6">
        <v>43672</v>
      </c>
      <c r="N30" s="7">
        <v>19</v>
      </c>
      <c r="O30" s="7" t="str">
        <f>"004753"</f>
        <v>004753</v>
      </c>
      <c r="P30" s="6">
        <v>43700</v>
      </c>
      <c r="Q30" s="9">
        <v>99</v>
      </c>
      <c r="R30" s="9">
        <v>10.37649</v>
      </c>
      <c r="S30" s="9">
        <v>88.623509999999996</v>
      </c>
      <c r="T30" s="7">
        <v>13</v>
      </c>
      <c r="U30" s="6">
        <v>43749</v>
      </c>
      <c r="V30" s="7">
        <v>9731804566</v>
      </c>
      <c r="W30" s="8" t="s">
        <v>48</v>
      </c>
      <c r="X30" s="7" t="s">
        <v>46</v>
      </c>
      <c r="Y30" s="8" t="s">
        <v>47</v>
      </c>
      <c r="Z30" s="7" t="s">
        <v>51</v>
      </c>
      <c r="AA30" s="8" t="s">
        <v>52</v>
      </c>
      <c r="AB30" s="9">
        <v>0.99</v>
      </c>
    </row>
    <row r="31" spans="1:28" x14ac:dyDescent="0.35">
      <c r="A31" s="4">
        <v>4414</v>
      </c>
      <c r="B31" s="5" t="s">
        <v>143</v>
      </c>
      <c r="C31" s="6">
        <v>43777</v>
      </c>
      <c r="D31" s="4">
        <v>138</v>
      </c>
      <c r="E31" s="8" t="s">
        <v>55</v>
      </c>
      <c r="F31" s="7" t="s">
        <v>61</v>
      </c>
      <c r="G31" s="8" t="s">
        <v>62</v>
      </c>
      <c r="H31" s="7" t="str">
        <f>"000025"</f>
        <v>000025</v>
      </c>
      <c r="I31" s="6">
        <v>42942</v>
      </c>
      <c r="J31" s="7" t="str">
        <f>"000074"</f>
        <v>000074</v>
      </c>
      <c r="K31" s="6">
        <v>43761</v>
      </c>
      <c r="L31" s="7" t="str">
        <f>"000074"</f>
        <v>000074</v>
      </c>
      <c r="M31" s="6">
        <v>43761</v>
      </c>
      <c r="N31" s="7">
        <v>16</v>
      </c>
      <c r="O31" s="7" t="str">
        <f>"006122"</f>
        <v>006122</v>
      </c>
      <c r="P31" s="6">
        <v>43776</v>
      </c>
      <c r="Q31" s="9">
        <v>5.92807</v>
      </c>
      <c r="R31" s="9">
        <v>0.58601000000000003</v>
      </c>
      <c r="S31" s="9">
        <v>5.34206</v>
      </c>
      <c r="T31" s="7">
        <v>13</v>
      </c>
      <c r="U31" s="6">
        <v>43777</v>
      </c>
      <c r="V31" s="7">
        <v>9845036718</v>
      </c>
      <c r="W31" s="8" t="s">
        <v>35</v>
      </c>
      <c r="X31" s="7" t="s">
        <v>34</v>
      </c>
      <c r="Y31" s="8" t="s">
        <v>33</v>
      </c>
      <c r="Z31" s="7" t="s">
        <v>36</v>
      </c>
      <c r="AA31" s="8" t="s">
        <v>37</v>
      </c>
      <c r="AB31" s="9">
        <v>5.9280699999999999E-2</v>
      </c>
    </row>
    <row r="32" spans="1:28" x14ac:dyDescent="0.35">
      <c r="A32" s="4">
        <v>4415</v>
      </c>
      <c r="B32" s="5" t="s">
        <v>144</v>
      </c>
      <c r="C32" s="6">
        <v>43801</v>
      </c>
      <c r="D32" s="4">
        <v>138</v>
      </c>
      <c r="E32" s="8" t="s">
        <v>55</v>
      </c>
      <c r="F32" s="7" t="s">
        <v>145</v>
      </c>
      <c r="G32" s="8" t="s">
        <v>146</v>
      </c>
      <c r="H32" s="7" t="str">
        <f>"000578"</f>
        <v>000578</v>
      </c>
      <c r="I32" s="6">
        <v>43531</v>
      </c>
      <c r="J32" s="7" t="str">
        <f>"000055"</f>
        <v>000055</v>
      </c>
      <c r="K32" s="6">
        <v>43753</v>
      </c>
      <c r="L32" s="7" t="str">
        <f>"000167"</f>
        <v>000167</v>
      </c>
      <c r="M32" s="6">
        <v>43753</v>
      </c>
      <c r="N32" s="7">
        <v>19</v>
      </c>
      <c r="O32" s="7" t="str">
        <f>"006419"</f>
        <v>006419</v>
      </c>
      <c r="P32" s="6">
        <v>43795</v>
      </c>
      <c r="Q32" s="9">
        <v>2.3706999999999998</v>
      </c>
      <c r="R32" s="9">
        <v>0.10548</v>
      </c>
      <c r="S32" s="9">
        <v>2.2652199999999998</v>
      </c>
      <c r="T32" s="7">
        <v>13</v>
      </c>
      <c r="U32" s="6">
        <v>43801</v>
      </c>
      <c r="V32" s="7">
        <v>9731804566</v>
      </c>
      <c r="W32" s="8" t="s">
        <v>97</v>
      </c>
      <c r="X32" s="7" t="s">
        <v>147</v>
      </c>
      <c r="Y32" s="8" t="s">
        <v>148</v>
      </c>
      <c r="Z32" s="7" t="s">
        <v>51</v>
      </c>
      <c r="AA32" s="8" t="s">
        <v>52</v>
      </c>
      <c r="AB32" s="9">
        <v>2.3706999999999999E-2</v>
      </c>
    </row>
    <row r="33" spans="1:28" x14ac:dyDescent="0.35">
      <c r="A33" s="4">
        <v>4416</v>
      </c>
      <c r="B33" s="5" t="s">
        <v>144</v>
      </c>
      <c r="C33" s="6">
        <v>43817</v>
      </c>
      <c r="D33" s="4">
        <v>138</v>
      </c>
      <c r="E33" s="8" t="s">
        <v>55</v>
      </c>
      <c r="F33" s="7" t="s">
        <v>149</v>
      </c>
      <c r="G33" s="8" t="s">
        <v>150</v>
      </c>
      <c r="H33" s="7" t="str">
        <f>"000120"</f>
        <v>000120</v>
      </c>
      <c r="I33" s="6">
        <v>43250</v>
      </c>
      <c r="J33" s="7" t="str">
        <f>"000054"</f>
        <v>000054</v>
      </c>
      <c r="K33" s="6">
        <v>43250</v>
      </c>
      <c r="L33" s="7" t="str">
        <f>"000122"</f>
        <v>000122</v>
      </c>
      <c r="M33" s="6">
        <v>43250</v>
      </c>
      <c r="N33" s="7">
        <v>18</v>
      </c>
      <c r="O33" s="7" t="str">
        <f>"006717"</f>
        <v>006717</v>
      </c>
      <c r="P33" s="6">
        <v>43809</v>
      </c>
      <c r="Q33" s="9">
        <v>20.971530000000001</v>
      </c>
      <c r="R33" s="9">
        <v>2.2451400000000001</v>
      </c>
      <c r="S33" s="9">
        <v>18.726389999999999</v>
      </c>
      <c r="T33" s="7">
        <v>13</v>
      </c>
      <c r="U33" s="6">
        <v>43817</v>
      </c>
      <c r="V33" s="7">
        <v>9731804566</v>
      </c>
      <c r="W33" s="8" t="s">
        <v>58</v>
      </c>
      <c r="X33" s="7" t="s">
        <v>151</v>
      </c>
      <c r="Y33" s="8" t="s">
        <v>152</v>
      </c>
      <c r="Z33" s="7" t="s">
        <v>51</v>
      </c>
      <c r="AA33" s="8" t="s">
        <v>52</v>
      </c>
      <c r="AB33" s="9">
        <v>0.20971530000000002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2020-01-30T06:44:05Z</dcterms:modified>
</cp:coreProperties>
</file>