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<sst xmlns="http://schemas.openxmlformats.org/spreadsheetml/2006/main" count="438" uniqueCount="180">
  <si>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</si>
  <si>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</si>
  <si>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</si>
  <si>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</si>
  <si>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</si>
  <si>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</si>
  <si>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</si>
  <si>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</si>
  <si>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</si>
  <si>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</si>
  <si>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</si>
  <si>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</si>
  <si>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</si>
  <si>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</si>
  <si>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</si>
  <si>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</si>
  <si>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</si>
  <si>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</si>
  <si>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</si>
  <si>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</si>
  <si>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</si>
  <si>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</si>
  <si>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</si>
  <si>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</si>
  <si>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</si>
  <si>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</si>
  <si>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</si>
  <si>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</si>
  <si>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</si>
  <si>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P1802</t>
  </si>
  <si>
    <t>Water Supply New Areas</t>
  </si>
  <si>
    <t>P0300</t>
  </si>
  <si>
    <t>M and R to Street Lights - Replacement of Burnt Bulbs etc. (Package)</t>
  </si>
  <si>
    <t>P3158</t>
  </si>
  <si>
    <t>SIP Infrastructure Project works</t>
  </si>
  <si>
    <t>June</t>
  </si>
  <si>
    <t>P1771</t>
  </si>
  <si>
    <t>Zone Works - POW Works</t>
  </si>
  <si>
    <t>May</t>
  </si>
  <si>
    <t>P3089</t>
  </si>
  <si>
    <t>Special Development works in 7 CMC and 1 TMC area in BBMP</t>
  </si>
  <si>
    <t>18per - Works (Bhagyajyothi, Sooru / Neeru Yojane and General) (54 Lakhs / New Wards)</t>
  </si>
  <si>
    <t>P1878</t>
  </si>
  <si>
    <t>P3106</t>
  </si>
  <si>
    <t>Nagarothana Works</t>
  </si>
  <si>
    <t>P3111</t>
  </si>
  <si>
    <t>State Finance Commission Untied Grant Works</t>
  </si>
  <si>
    <t>P3297</t>
  </si>
  <si>
    <t>14th Finance Commission Grants - SWD Works</t>
  </si>
  <si>
    <t>KRIDL</t>
  </si>
  <si>
    <t>ddo466</t>
  </si>
  <si>
    <t xml:space="preserve"> Assistant Executive Engineer Electrical Dasarahalli Zone</t>
  </si>
  <si>
    <t>R.Shivaram</t>
  </si>
  <si>
    <t>Bagalakunte</t>
  </si>
  <si>
    <t>014-18-000054</t>
  </si>
  <si>
    <t>Improvements to roads and drains at Ganapathi badavane 1st main roads and others cross roads in ward no 14 Bagalagunte</t>
  </si>
  <si>
    <t>ddo023</t>
  </si>
  <si>
    <t xml:space="preserve"> Assistant Executive Engineer Dasarahalli SubDiv</t>
  </si>
  <si>
    <t>014-18-000055</t>
  </si>
  <si>
    <t>Improvements to roads and drains at Kataraya Nagara in ward no 14 Bagalagunte</t>
  </si>
  <si>
    <t>014-18-000049</t>
  </si>
  <si>
    <t>Improvements to roads and drains at between 3rd main and 4th main cross roads Manjunatha Nagara in ward no 14 Bagalagunte</t>
  </si>
  <si>
    <t>014-18-000046</t>
  </si>
  <si>
    <t>Improvements to roads and drains at 2nd main and 8th cross Manjunatha Nagara in ward no 14 Bagalagunte</t>
  </si>
  <si>
    <t>014-18-000044</t>
  </si>
  <si>
    <t>Improvements to roads and drains at 1st, 2nd and 3rd cross Manjunatha Nagara in ward no 14 Bagalagunte</t>
  </si>
  <si>
    <t>014-18-000043</t>
  </si>
  <si>
    <t>Improvements to roads and drains at 10th cross Mahalakshmi Nagara in ward no 14 Bagalagunte</t>
  </si>
  <si>
    <t>014-18-000051</t>
  </si>
  <si>
    <t>Improvements to roads and drains at between 5th main and 6th main cross roads Manjunatha Nagara in ward no 14</t>
  </si>
  <si>
    <t>014-18-000353</t>
  </si>
  <si>
    <t>Providing pathway and other works to Indira Kitchen surrounding area in ward no14</t>
  </si>
  <si>
    <t>S Manjunath</t>
  </si>
  <si>
    <t>014-16-000002</t>
  </si>
  <si>
    <t>Operation and Maintenance of stree light at Ward No.14Bagalugunte Package D-4</t>
  </si>
  <si>
    <t>A</t>
  </si>
  <si>
    <t xml:space="preserve">M/s Kusuma Electricals </t>
  </si>
  <si>
    <t>014-17-000024</t>
  </si>
  <si>
    <t>Providing street Lights and fittings in Bagalagunte in Bagalagunte ward no 14 in Dasarahalli Sub division</t>
  </si>
  <si>
    <t>M/s Lakshmi kantha Electricals</t>
  </si>
  <si>
    <t>014-17-000063</t>
  </si>
  <si>
    <t>Drilling of borewell in ward no14 in T.Dasarahalli sud division</t>
  </si>
  <si>
    <t>014-16-000036</t>
  </si>
  <si>
    <t>Improvements to main roads and cross roads at Havnoor Layout ward no 14 Bagalagunte</t>
  </si>
  <si>
    <t>RAMESH GN</t>
  </si>
  <si>
    <t>014-18-000351</t>
  </si>
  <si>
    <t xml:space="preserve">Improvements to Drains and Roads at Main and Cross roads near STP Plant BTS Layout at Bagalagunte Ward No 14 </t>
  </si>
  <si>
    <t>Operation and Maintenance of stree light at Ward No.14Bagalugunte Package        D-4</t>
  </si>
  <si>
    <t>014-19-000006</t>
  </si>
  <si>
    <t>Improvements works to Storm water drain in Bagalagunte ward no 14</t>
  </si>
  <si>
    <t>Sri.Ragunandan L</t>
  </si>
  <si>
    <t>014-16-000032</t>
  </si>
  <si>
    <t>Improvements to roads and drains at Bagalagunte cross roads ward no 14 Bagalagunte</t>
  </si>
  <si>
    <t>JAYAMMA K</t>
  </si>
  <si>
    <t>014-18-000025</t>
  </si>
  <si>
    <t>Improvements to cement concrete roads at Bagalagunte Village in Bagalagunte ward no 14</t>
  </si>
  <si>
    <t>014-18-000006</t>
  </si>
  <si>
    <t>Improvements to roads at MEI layout 11th , 13th, 14th main roads and other cross roads in Bagalagunte in ward no 14</t>
  </si>
  <si>
    <t>P2178</t>
  </si>
  <si>
    <t>Works sanctioned by Dy. Mayor</t>
  </si>
  <si>
    <t>014-18-000007</t>
  </si>
  <si>
    <t>Improvements to roads and drains 11th B and 12th cross roads at Vishweshwaraiah layout in ward no 14</t>
  </si>
  <si>
    <t>014-18-000009</t>
  </si>
  <si>
    <t>Improvements to MEI Layout 4th A cross 5th A cross 4th and 5th Cross 5th main 6th main and other cross roads at Bagalagunte ward no 14.</t>
  </si>
  <si>
    <t>014-18-000005</t>
  </si>
  <si>
    <t>Improvements to roads and drains Nisarga School back side, Sampangi Ramaiah Layout at Bagalagunte ward no 14</t>
  </si>
  <si>
    <t>P0541</t>
  </si>
  <si>
    <t>Emergency Reserve Fund</t>
  </si>
  <si>
    <t>014-18-000008</t>
  </si>
  <si>
    <t>Improvements to roads at Sheshadri layout and connection road to Ganapathi Badavane road in ward no 14</t>
  </si>
  <si>
    <t>July</t>
  </si>
  <si>
    <t>014-18-000352</t>
  </si>
  <si>
    <t xml:space="preserve">Construction of CC Roads and CC drains at 16 A Cross Bagalagunte in Ward No.14. Bagalagunte. </t>
  </si>
  <si>
    <t>August</t>
  </si>
  <si>
    <t>014-18-000039</t>
  </si>
  <si>
    <t>Repairs and Maintenance of Anganawadi buildings at ward no 14 Bagalagunte</t>
  </si>
  <si>
    <t>P3329</t>
  </si>
  <si>
    <t>Special Development works at Wards (70 wards Rs.1.00 Cr. Each) - Ward Numbers as per Budget Book 2017-18 page no. 109</t>
  </si>
  <si>
    <t>014-18-000040</t>
  </si>
  <si>
    <t>Repairs and Maintenance of Borewells at Sidedahalli Village Limit ward no 14 Bagalagunte</t>
  </si>
  <si>
    <t>September</t>
  </si>
  <si>
    <t>014-18-000220</t>
  </si>
  <si>
    <t>Construction of public sitting of Bagalagunte in Bagalagunte in ward no 14</t>
  </si>
  <si>
    <t>K Madhava Reddy</t>
  </si>
  <si>
    <t>014-18-000345</t>
  </si>
  <si>
    <t>Providing and fixing of Street light fittings Timers Control Wires etc In Village areas in Dasarahalli Assebmly Constituency. ward no 14</t>
  </si>
  <si>
    <t>THE TECHNICAL MANAGER (BBMP) KRIDL</t>
  </si>
  <si>
    <t>P3255</t>
  </si>
  <si>
    <t>Providing Additional Electrical Fittings at New zonesand110 Villages ( Rs.60.00 Lakhs each zone)</t>
  </si>
  <si>
    <t>014-18-000015</t>
  </si>
  <si>
    <t>Re construction of Cement Concrete road at Jodidar Narasimhaiah Layout at Bagalagunte ward no 14.</t>
  </si>
  <si>
    <t>M/s. Venkateshwar Enterprises</t>
  </si>
  <si>
    <t>P0190</t>
  </si>
  <si>
    <t>Works sanctioned by Hon Mayor</t>
  </si>
  <si>
    <t>014-18-000017</t>
  </si>
  <si>
    <t>Improvements to drain at Vijayalakshmi Layout at Bagalagunte ward no 14.</t>
  </si>
  <si>
    <t>J.C Ramachandra</t>
  </si>
  <si>
    <t>014-18-000013</t>
  </si>
  <si>
    <t>Improvements to drain 4th 5th cross of Bhuvaneshwari Nagara at Bagalagunte ward no 14</t>
  </si>
  <si>
    <t>M/s. Sri Venkateshwar Enterprises</t>
  </si>
  <si>
    <t>P3336</t>
  </si>
  <si>
    <t>Special Development works at Ward No.63,84,86,112,144 ( 05 wards Rs.10.00 Cr. Each) and Ward no.60,80,113,122 ( 04 wards Rs.11.00 Cr. Each)</t>
  </si>
  <si>
    <t>014-18-000018</t>
  </si>
  <si>
    <t>Improvements to drain at Munikondappa layout at Bagalagunte ward no 14.</t>
  </si>
  <si>
    <t>J C Ramachandra</t>
  </si>
  <si>
    <t>014-18-000021</t>
  </si>
  <si>
    <t>Improvements to drain at Havnoor Layout at Bagalagunte ward no 14.</t>
  </si>
  <si>
    <t>Shivakumar B.H</t>
  </si>
  <si>
    <t>October</t>
  </si>
  <si>
    <t>014-18-000022</t>
  </si>
  <si>
    <t>Improvements to drain at Defence Colony, at Bagalagunte ward no 14</t>
  </si>
  <si>
    <t>014-17-000015</t>
  </si>
  <si>
    <t>Improvements and asphalting to 9th and 10th main bhuvaneshwari nagara (left side and right side)1st main brundavana laout and cross roads in Baglagunte ward no 14 Dasarahalli Sub division</t>
  </si>
  <si>
    <t xml:space="preserve">M/s Mahendra Engineering Works </t>
  </si>
  <si>
    <t>014-19-000049</t>
  </si>
  <si>
    <t>Providing CC Camera at Garbage Block Spots in ward no 14 Dasarahalli Sub Division</t>
  </si>
  <si>
    <t xml:space="preserve">Sri.B.Prakash </t>
  </si>
  <si>
    <t>P3298</t>
  </si>
  <si>
    <t>14th Finance Commission Works - SWM Works</t>
  </si>
  <si>
    <t>ddo464</t>
  </si>
  <si>
    <t xml:space="preserve"> Assistant Executive Engineer Project - 1 Dasarahalli Zone</t>
  </si>
  <si>
    <t>014-17-000022</t>
  </si>
  <si>
    <t>Potholes filling in main and cross roads of Bagalagunte in Bagalagunte ward no 14 in Dasarahalli Sub division</t>
  </si>
  <si>
    <t>GN Ramesh</t>
  </si>
  <si>
    <t>November</t>
  </si>
  <si>
    <t>014-17-000014</t>
  </si>
  <si>
    <t>Improvements and asphalthing to 22nd cross (pipe line road ) Bhuvaneshwari nagara 1st main and 1st A main road Brundavana Extn (From pipe line road)in Bagalagunte ward no 14 Dasarahalli Sub division</t>
  </si>
  <si>
    <t>M/s Mahendra Engineering Works</t>
  </si>
  <si>
    <t>December</t>
  </si>
  <si>
    <t>014-18-000065</t>
  </si>
  <si>
    <t>Improvements and Asphalting roads Main and Cross roads of Soap factory layout, MS Ramaaih Layout, Siddeshwara Layout, Bhuvaneshwari Layout and Vishveshwaraiah Layout in Bagalagunte ward no.14(5WORKS) Package no:DZ/2017-18(04)</t>
  </si>
  <si>
    <t xml:space="preserve">Sri.M.S Venkatesh </t>
  </si>
  <si>
    <t>014-18-000056</t>
  </si>
  <si>
    <t>Improvements and Asphalting roads at Manjunatha nagara Temginthota, Byraweshwara nagara, Sampangi ramaiah layout Main and cross roads MEI Layout left-side and Bagalagunte in Bagalagunte ward no.14(5WORKS) Package no:DZ/2017-18(03)</t>
  </si>
  <si>
    <t>014-18-000020</t>
  </si>
  <si>
    <t>Improvements to drain at Raja reddy Layout at Bagalagunte ward no 14.</t>
  </si>
  <si>
    <t>014-18-000014</t>
  </si>
  <si>
    <t>Improvements to drain at 1st, 2nd, 3rd and 4th cross Vishweshwaraiah Layout at Bagalagunte ward no 14.</t>
  </si>
  <si>
    <t>014-18-000016</t>
  </si>
  <si>
    <t>Improvements to drain at Sheshadri Layout, Bagalagunte ward no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</si>
</sst>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586</v>
      </c>
      <c r="B2" s="6" t="s">
        <v>28</v>
      </c>
      <c r="C2" s="7">
        <v>43566</v>
      </c>
      <c r="D2" s="8">
        <v>14</v>
      </c>
      <c r="E2" s="9" t="s">
        <v>53</v>
      </c>
      <c r="F2" s="8" t="s">
        <v>54</v>
      </c>
      <c r="G2" s="9" t="s">
        <v>55</v>
      </c>
      <c r="H2" s="8" t="str">
        <f>"000087"</f>
        <v>000087</v>
      </c>
      <c r="I2" s="7">
        <v>43059</v>
      </c>
      <c r="J2" s="8" t="str">
        <f>"000074"</f>
        <v>000074</v>
      </c>
      <c r="K2" s="7">
        <v>43379</v>
      </c>
      <c r="L2" s="8" t="str">
        <f>"000218"</f>
        <v>000218</v>
      </c>
      <c r="M2" s="7">
        <v>43398</v>
      </c>
      <c r="N2" s="8">
        <v>18</v>
      </c>
      <c r="O2" s="8" t="str">
        <f>"009954"</f>
        <v>009954</v>
      </c>
      <c r="P2" s="7">
        <v>43549</v>
      </c>
      <c r="Q2" s="10">
        <v>49.985399999999998</v>
      </c>
      <c r="R2" s="10">
        <v>5.6476800000000003</v>
      </c>
      <c r="S2" s="10">
        <v>44.337719999999997</v>
      </c>
      <c r="T2" s="8">
        <v>15</v>
      </c>
      <c r="U2" s="7">
        <v>43566</v>
      </c>
      <c r="V2" s="8">
        <v>9449219009</v>
      </c>
      <c r="W2" s="9" t="s">
        <v>49</v>
      </c>
      <c r="X2" s="8" t="s">
        <v>42</v>
      </c>
      <c r="Y2" s="9" t="s">
        <v>41</v>
      </c>
      <c r="Z2" s="8" t="s">
        <v>56</v>
      </c>
      <c r="AA2" s="9" t="s">
        <v>57</v>
      </c>
      <c r="AB2" s="10">
        <f t="shared" ref="AB2:AB22" si="0">Q2/100</f>
        <v>0.49985399999999997</v>
      </c>
    </row>
    <row r="3" spans="1:28" s="4" customFormat="1" ht="13" x14ac:dyDescent="0.3">
      <c r="A3" s="5">
        <v>587</v>
      </c>
      <c r="B3" s="6" t="s">
        <v>28</v>
      </c>
      <c r="C3" s="7">
        <v>43566</v>
      </c>
      <c r="D3" s="8">
        <v>14</v>
      </c>
      <c r="E3" s="9" t="s">
        <v>53</v>
      </c>
      <c r="F3" s="8" t="s">
        <v>58</v>
      </c>
      <c r="G3" s="9" t="s">
        <v>59</v>
      </c>
      <c r="H3" s="8" t="str">
        <f>"000078"</f>
        <v>000078</v>
      </c>
      <c r="I3" s="7">
        <v>43059</v>
      </c>
      <c r="J3" s="8" t="str">
        <f>"000076"</f>
        <v>000076</v>
      </c>
      <c r="K3" s="7">
        <v>43379</v>
      </c>
      <c r="L3" s="8" t="str">
        <f>"000219"</f>
        <v>000219</v>
      </c>
      <c r="M3" s="7">
        <v>43398</v>
      </c>
      <c r="N3" s="8">
        <v>18</v>
      </c>
      <c r="O3" s="8" t="str">
        <f>"009955"</f>
        <v>009955</v>
      </c>
      <c r="P3" s="7">
        <v>43549</v>
      </c>
      <c r="Q3" s="10">
        <v>49.89367</v>
      </c>
      <c r="R3" s="10">
        <v>5.63748</v>
      </c>
      <c r="S3" s="10">
        <v>44.256189999999997</v>
      </c>
      <c r="T3" s="8">
        <v>15</v>
      </c>
      <c r="U3" s="7">
        <v>43566</v>
      </c>
      <c r="V3" s="8">
        <v>9449219009</v>
      </c>
      <c r="W3" s="9" t="s">
        <v>49</v>
      </c>
      <c r="X3" s="8" t="s">
        <v>42</v>
      </c>
      <c r="Y3" s="9" t="s">
        <v>41</v>
      </c>
      <c r="Z3" s="8" t="s">
        <v>56</v>
      </c>
      <c r="AA3" s="9" t="s">
        <v>57</v>
      </c>
      <c r="AB3" s="10">
        <f t="shared" si="0"/>
        <v>0.49893670000000001</v>
      </c>
    </row>
    <row r="4" spans="1:28" s="4" customFormat="1" ht="13" x14ac:dyDescent="0.3">
      <c r="A4" s="5">
        <v>588</v>
      </c>
      <c r="B4" s="6" t="s">
        <v>28</v>
      </c>
      <c r="C4" s="7">
        <v>43566</v>
      </c>
      <c r="D4" s="8">
        <v>14</v>
      </c>
      <c r="E4" s="9" t="s">
        <v>53</v>
      </c>
      <c r="F4" s="8" t="s">
        <v>60</v>
      </c>
      <c r="G4" s="9" t="s">
        <v>61</v>
      </c>
      <c r="H4" s="8" t="str">
        <f>"000079"</f>
        <v>000079</v>
      </c>
      <c r="I4" s="7">
        <v>43059</v>
      </c>
      <c r="J4" s="8" t="str">
        <f>"000075"</f>
        <v>000075</v>
      </c>
      <c r="K4" s="7">
        <v>43379</v>
      </c>
      <c r="L4" s="8" t="str">
        <f>"000220"</f>
        <v>000220</v>
      </c>
      <c r="M4" s="7">
        <v>43398</v>
      </c>
      <c r="N4" s="8">
        <v>18</v>
      </c>
      <c r="O4" s="8" t="str">
        <f>"009956"</f>
        <v>009956</v>
      </c>
      <c r="P4" s="7">
        <v>43549</v>
      </c>
      <c r="Q4" s="10">
        <v>49.969650000000001</v>
      </c>
      <c r="R4" s="10">
        <v>5.6458199999999996</v>
      </c>
      <c r="S4" s="10">
        <v>44.323830000000001</v>
      </c>
      <c r="T4" s="8">
        <v>15</v>
      </c>
      <c r="U4" s="7">
        <v>43566</v>
      </c>
      <c r="V4" s="8">
        <v>9449219009</v>
      </c>
      <c r="W4" s="9" t="s">
        <v>49</v>
      </c>
      <c r="X4" s="8" t="s">
        <v>42</v>
      </c>
      <c r="Y4" s="9" t="s">
        <v>41</v>
      </c>
      <c r="Z4" s="8" t="s">
        <v>56</v>
      </c>
      <c r="AA4" s="9" t="s">
        <v>57</v>
      </c>
      <c r="AB4" s="10">
        <f t="shared" si="0"/>
        <v>0.49969649999999999</v>
      </c>
    </row>
    <row r="5" spans="1:28" s="4" customFormat="1" ht="13" x14ac:dyDescent="0.3">
      <c r="A5" s="5">
        <v>589</v>
      </c>
      <c r="B5" s="6" t="s">
        <v>28</v>
      </c>
      <c r="C5" s="7">
        <v>43566</v>
      </c>
      <c r="D5" s="8">
        <v>14</v>
      </c>
      <c r="E5" s="9" t="s">
        <v>53</v>
      </c>
      <c r="F5" s="8" t="s">
        <v>62</v>
      </c>
      <c r="G5" s="9" t="s">
        <v>63</v>
      </c>
      <c r="H5" s="8" t="str">
        <f>"000083"</f>
        <v>000083</v>
      </c>
      <c r="I5" s="7">
        <v>43059</v>
      </c>
      <c r="J5" s="8" t="str">
        <f>"000073"</f>
        <v>000073</v>
      </c>
      <c r="K5" s="7">
        <v>43379</v>
      </c>
      <c r="L5" s="8" t="str">
        <f>"000228"</f>
        <v>000228</v>
      </c>
      <c r="M5" s="7">
        <v>43403</v>
      </c>
      <c r="N5" s="8">
        <v>18</v>
      </c>
      <c r="O5" s="8" t="str">
        <f>"009957"</f>
        <v>009957</v>
      </c>
      <c r="P5" s="7">
        <v>43549</v>
      </c>
      <c r="Q5" s="10">
        <v>49.964120000000001</v>
      </c>
      <c r="R5" s="10">
        <v>5.44015</v>
      </c>
      <c r="S5" s="10">
        <v>44.523969999999998</v>
      </c>
      <c r="T5" s="8">
        <v>15</v>
      </c>
      <c r="U5" s="7">
        <v>43566</v>
      </c>
      <c r="V5" s="8">
        <v>9449219009</v>
      </c>
      <c r="W5" s="9" t="s">
        <v>49</v>
      </c>
      <c r="X5" s="8" t="s">
        <v>42</v>
      </c>
      <c r="Y5" s="9" t="s">
        <v>41</v>
      </c>
      <c r="Z5" s="8" t="s">
        <v>56</v>
      </c>
      <c r="AA5" s="9" t="s">
        <v>57</v>
      </c>
      <c r="AB5" s="10">
        <f t="shared" si="0"/>
        <v>0.49964120000000001</v>
      </c>
    </row>
    <row r="6" spans="1:28" s="4" customFormat="1" ht="13" x14ac:dyDescent="0.3">
      <c r="A6" s="5">
        <v>590</v>
      </c>
      <c r="B6" s="6" t="s">
        <v>28</v>
      </c>
      <c r="C6" s="7">
        <v>43566</v>
      </c>
      <c r="D6" s="8">
        <v>14</v>
      </c>
      <c r="E6" s="9" t="s">
        <v>53</v>
      </c>
      <c r="F6" s="8" t="s">
        <v>64</v>
      </c>
      <c r="G6" s="9" t="s">
        <v>65</v>
      </c>
      <c r="H6" s="8" t="str">
        <f>"000084"</f>
        <v>000084</v>
      </c>
      <c r="I6" s="7">
        <v>43059</v>
      </c>
      <c r="J6" s="8" t="str">
        <f>"000080"</f>
        <v>000080</v>
      </c>
      <c r="K6" s="7">
        <v>43382</v>
      </c>
      <c r="L6" s="8" t="str">
        <f>"000229"</f>
        <v>000229</v>
      </c>
      <c r="M6" s="7">
        <v>43403</v>
      </c>
      <c r="N6" s="8">
        <v>18</v>
      </c>
      <c r="O6" s="8" t="str">
        <f>"009958"</f>
        <v>009958</v>
      </c>
      <c r="P6" s="7">
        <v>43549</v>
      </c>
      <c r="Q6" s="10">
        <v>49.961120000000001</v>
      </c>
      <c r="R6" s="10">
        <v>5.38863</v>
      </c>
      <c r="S6" s="10">
        <v>44.572490000000002</v>
      </c>
      <c r="T6" s="8">
        <v>15</v>
      </c>
      <c r="U6" s="7">
        <v>43566</v>
      </c>
      <c r="V6" s="8">
        <v>9449219009</v>
      </c>
      <c r="W6" s="9" t="s">
        <v>49</v>
      </c>
      <c r="X6" s="8" t="s">
        <v>42</v>
      </c>
      <c r="Y6" s="9" t="s">
        <v>41</v>
      </c>
      <c r="Z6" s="8" t="s">
        <v>56</v>
      </c>
      <c r="AA6" s="9" t="s">
        <v>57</v>
      </c>
      <c r="AB6" s="10">
        <f t="shared" si="0"/>
        <v>0.49961120000000003</v>
      </c>
    </row>
    <row r="7" spans="1:28" s="4" customFormat="1" ht="13" x14ac:dyDescent="0.3">
      <c r="A7" s="5">
        <v>591</v>
      </c>
      <c r="B7" s="6" t="s">
        <v>28</v>
      </c>
      <c r="C7" s="7">
        <v>43566</v>
      </c>
      <c r="D7" s="8">
        <v>14</v>
      </c>
      <c r="E7" s="9" t="s">
        <v>53</v>
      </c>
      <c r="F7" s="8" t="s">
        <v>66</v>
      </c>
      <c r="G7" s="9" t="s">
        <v>67</v>
      </c>
      <c r="H7" s="8" t="str">
        <f>"000080"</f>
        <v>000080</v>
      </c>
      <c r="I7" s="7">
        <v>43059</v>
      </c>
      <c r="J7" s="8" t="str">
        <f>"000078"</f>
        <v>000078</v>
      </c>
      <c r="K7" s="7">
        <v>43382</v>
      </c>
      <c r="L7" s="8" t="str">
        <f>"000230"</f>
        <v>000230</v>
      </c>
      <c r="M7" s="7">
        <v>43403</v>
      </c>
      <c r="N7" s="8">
        <v>18</v>
      </c>
      <c r="O7" s="8" t="str">
        <f>"009959"</f>
        <v>009959</v>
      </c>
      <c r="P7" s="7">
        <v>43549</v>
      </c>
      <c r="Q7" s="10">
        <v>49.975670000000001</v>
      </c>
      <c r="R7" s="10">
        <v>5.6054399999999998</v>
      </c>
      <c r="S7" s="10">
        <v>44.370229999999999</v>
      </c>
      <c r="T7" s="8">
        <v>15</v>
      </c>
      <c r="U7" s="7">
        <v>43566</v>
      </c>
      <c r="V7" s="8">
        <v>9449219009</v>
      </c>
      <c r="W7" s="9" t="s">
        <v>49</v>
      </c>
      <c r="X7" s="8" t="s">
        <v>42</v>
      </c>
      <c r="Y7" s="9" t="s">
        <v>41</v>
      </c>
      <c r="Z7" s="8" t="s">
        <v>56</v>
      </c>
      <c r="AA7" s="9" t="s">
        <v>57</v>
      </c>
      <c r="AB7" s="10">
        <f t="shared" si="0"/>
        <v>0.4997567</v>
      </c>
    </row>
    <row r="8" spans="1:28" s="4" customFormat="1" ht="13" x14ac:dyDescent="0.3">
      <c r="A8" s="5">
        <v>592</v>
      </c>
      <c r="B8" s="6" t="s">
        <v>28</v>
      </c>
      <c r="C8" s="7">
        <v>43566</v>
      </c>
      <c r="D8" s="8">
        <v>14</v>
      </c>
      <c r="E8" s="9" t="s">
        <v>53</v>
      </c>
      <c r="F8" s="8" t="s">
        <v>68</v>
      </c>
      <c r="G8" s="9" t="s">
        <v>69</v>
      </c>
      <c r="H8" s="8" t="str">
        <f>"000076"</f>
        <v>000076</v>
      </c>
      <c r="I8" s="7">
        <v>43059</v>
      </c>
      <c r="J8" s="8" t="str">
        <f>"000079"</f>
        <v>000079</v>
      </c>
      <c r="K8" s="7">
        <v>43382</v>
      </c>
      <c r="L8" s="8" t="str">
        <f>"000231"</f>
        <v>000231</v>
      </c>
      <c r="M8" s="7">
        <v>43403</v>
      </c>
      <c r="N8" s="8">
        <v>18</v>
      </c>
      <c r="O8" s="8" t="str">
        <f>"010160"</f>
        <v>010160</v>
      </c>
      <c r="P8" s="7">
        <v>43553</v>
      </c>
      <c r="Q8" s="10">
        <v>49.987209999999997</v>
      </c>
      <c r="R8" s="10">
        <v>5.6555</v>
      </c>
      <c r="S8" s="10">
        <v>44.331710000000001</v>
      </c>
      <c r="T8" s="8">
        <v>15</v>
      </c>
      <c r="U8" s="7">
        <v>43566</v>
      </c>
      <c r="V8" s="8">
        <v>9449219009</v>
      </c>
      <c r="W8" s="9" t="s">
        <v>49</v>
      </c>
      <c r="X8" s="8" t="s">
        <v>42</v>
      </c>
      <c r="Y8" s="9" t="s">
        <v>41</v>
      </c>
      <c r="Z8" s="8" t="s">
        <v>56</v>
      </c>
      <c r="AA8" s="9" t="s">
        <v>57</v>
      </c>
      <c r="AB8" s="10">
        <f t="shared" si="0"/>
        <v>0.49987209999999999</v>
      </c>
    </row>
    <row r="9" spans="1:28" s="4" customFormat="1" ht="13" x14ac:dyDescent="0.3">
      <c r="A9" s="5">
        <v>593</v>
      </c>
      <c r="B9" s="6" t="s">
        <v>28</v>
      </c>
      <c r="C9" s="7">
        <v>43571</v>
      </c>
      <c r="D9" s="8">
        <v>14</v>
      </c>
      <c r="E9" s="9" t="s">
        <v>53</v>
      </c>
      <c r="F9" s="8" t="s">
        <v>70</v>
      </c>
      <c r="G9" s="9" t="s">
        <v>71</v>
      </c>
      <c r="H9" s="8" t="str">
        <f>"000269"</f>
        <v>000269</v>
      </c>
      <c r="I9" s="7">
        <v>43441</v>
      </c>
      <c r="J9" s="8" t="str">
        <f>"000084"</f>
        <v>000084</v>
      </c>
      <c r="K9" s="7">
        <v>43447</v>
      </c>
      <c r="L9" s="8" t="str">
        <f>"000263"</f>
        <v>000263</v>
      </c>
      <c r="M9" s="7">
        <v>43456</v>
      </c>
      <c r="N9" s="8">
        <v>18</v>
      </c>
      <c r="O9" s="8" t="str">
        <f>"000400"</f>
        <v>000400</v>
      </c>
      <c r="P9" s="7">
        <v>43566</v>
      </c>
      <c r="Q9" s="10">
        <v>4.92591</v>
      </c>
      <c r="R9" s="10">
        <v>0.21661</v>
      </c>
      <c r="S9" s="10">
        <v>4.7092999999999998</v>
      </c>
      <c r="T9" s="8">
        <v>19</v>
      </c>
      <c r="U9" s="7">
        <v>43571</v>
      </c>
      <c r="V9" s="8">
        <v>8197839023</v>
      </c>
      <c r="W9" s="9" t="s">
        <v>72</v>
      </c>
      <c r="X9" s="8" t="s">
        <v>43</v>
      </c>
      <c r="Y9" s="9" t="s">
        <v>44</v>
      </c>
      <c r="Z9" s="8" t="s">
        <v>56</v>
      </c>
      <c r="AA9" s="9" t="s">
        <v>57</v>
      </c>
      <c r="AB9" s="10">
        <f t="shared" si="0"/>
        <v>4.92591E-2</v>
      </c>
    </row>
    <row r="10" spans="1:28" s="4" customFormat="1" ht="13" x14ac:dyDescent="0.3">
      <c r="A10" s="5">
        <v>594</v>
      </c>
      <c r="B10" s="6" t="s">
        <v>28</v>
      </c>
      <c r="C10" s="7">
        <v>43575</v>
      </c>
      <c r="D10" s="8">
        <v>14</v>
      </c>
      <c r="E10" s="9" t="s">
        <v>53</v>
      </c>
      <c r="F10" s="8" t="s">
        <v>73</v>
      </c>
      <c r="G10" s="9" t="s">
        <v>74</v>
      </c>
      <c r="H10" s="8" t="str">
        <f>"0011"</f>
        <v>0011</v>
      </c>
      <c r="I10" s="7" t="s">
        <v>75</v>
      </c>
      <c r="J10" s="8" t="str">
        <f>"000014"</f>
        <v>000014</v>
      </c>
      <c r="K10" s="7">
        <v>43105</v>
      </c>
      <c r="L10" s="8" t="str">
        <f>"000015"</f>
        <v>000015</v>
      </c>
      <c r="M10" s="7">
        <v>43105</v>
      </c>
      <c r="N10" s="8">
        <v>16</v>
      </c>
      <c r="O10" s="8" t="str">
        <f>"004449"</f>
        <v>004449</v>
      </c>
      <c r="P10" s="7">
        <v>43307</v>
      </c>
      <c r="Q10" s="10">
        <v>13.19383</v>
      </c>
      <c r="R10" s="10">
        <v>1.42513</v>
      </c>
      <c r="S10" s="10">
        <v>11.768700000000001</v>
      </c>
      <c r="T10" s="8">
        <v>20</v>
      </c>
      <c r="U10" s="7">
        <v>43575</v>
      </c>
      <c r="V10" s="8">
        <v>9880467865</v>
      </c>
      <c r="W10" s="9" t="s">
        <v>76</v>
      </c>
      <c r="X10" s="8" t="s">
        <v>31</v>
      </c>
      <c r="Y10" s="9" t="s">
        <v>32</v>
      </c>
      <c r="Z10" s="8" t="s">
        <v>50</v>
      </c>
      <c r="AA10" s="9" t="s">
        <v>51</v>
      </c>
      <c r="AB10" s="10">
        <f t="shared" si="0"/>
        <v>0.13193830000000001</v>
      </c>
    </row>
    <row r="11" spans="1:28" s="4" customFormat="1" ht="13" x14ac:dyDescent="0.3">
      <c r="A11" s="5">
        <v>595</v>
      </c>
      <c r="B11" s="6" t="s">
        <v>28</v>
      </c>
      <c r="C11" s="7">
        <v>43575</v>
      </c>
      <c r="D11" s="8">
        <v>14</v>
      </c>
      <c r="E11" s="9" t="s">
        <v>53</v>
      </c>
      <c r="F11" s="8" t="s">
        <v>73</v>
      </c>
      <c r="G11" s="9" t="s">
        <v>74</v>
      </c>
      <c r="H11" s="8" t="str">
        <f>"0011"</f>
        <v>0011</v>
      </c>
      <c r="I11" s="7" t="s">
        <v>75</v>
      </c>
      <c r="J11" s="8" t="str">
        <f>"000014"</f>
        <v>000014</v>
      </c>
      <c r="K11" s="7">
        <v>43105</v>
      </c>
      <c r="L11" s="8" t="str">
        <f>"000015"</f>
        <v>000015</v>
      </c>
      <c r="M11" s="7">
        <v>43105</v>
      </c>
      <c r="N11" s="8">
        <v>16</v>
      </c>
      <c r="O11" s="8" t="str">
        <f>"004449"</f>
        <v>004449</v>
      </c>
      <c r="P11" s="7">
        <v>43307</v>
      </c>
      <c r="Q11" s="10">
        <v>9.4241700000000002</v>
      </c>
      <c r="R11" s="10">
        <v>1.1811199999999999</v>
      </c>
      <c r="S11" s="10">
        <v>8.2430500000000002</v>
      </c>
      <c r="T11" s="8">
        <v>20</v>
      </c>
      <c r="U11" s="7">
        <v>43575</v>
      </c>
      <c r="V11" s="8">
        <v>9880467865</v>
      </c>
      <c r="W11" s="9" t="s">
        <v>76</v>
      </c>
      <c r="X11" s="8" t="s">
        <v>31</v>
      </c>
      <c r="Y11" s="9" t="s">
        <v>32</v>
      </c>
      <c r="Z11" s="8" t="s">
        <v>50</v>
      </c>
      <c r="AA11" s="9" t="s">
        <v>51</v>
      </c>
      <c r="AB11" s="10">
        <f t="shared" si="0"/>
        <v>9.4241699999999998E-2</v>
      </c>
    </row>
    <row r="12" spans="1:28" s="4" customFormat="1" ht="13" x14ac:dyDescent="0.3">
      <c r="A12" s="5">
        <v>596</v>
      </c>
      <c r="B12" s="6" t="s">
        <v>28</v>
      </c>
      <c r="C12" s="7">
        <v>43575</v>
      </c>
      <c r="D12" s="8">
        <v>14</v>
      </c>
      <c r="E12" s="9" t="s">
        <v>53</v>
      </c>
      <c r="F12" s="8" t="s">
        <v>77</v>
      </c>
      <c r="G12" s="9" t="s">
        <v>78</v>
      </c>
      <c r="H12" s="8" t="str">
        <f>"000007"</f>
        <v>000007</v>
      </c>
      <c r="I12" s="7">
        <v>43000</v>
      </c>
      <c r="J12" s="8" t="str">
        <f>"000008"</f>
        <v>000008</v>
      </c>
      <c r="K12" s="7">
        <v>43077</v>
      </c>
      <c r="L12" s="8" t="str">
        <f>"000007"</f>
        <v>000007</v>
      </c>
      <c r="M12" s="7">
        <v>43077</v>
      </c>
      <c r="N12" s="8">
        <v>17</v>
      </c>
      <c r="O12" s="8" t="str">
        <f>"000482"</f>
        <v>000482</v>
      </c>
      <c r="P12" s="7">
        <v>43567</v>
      </c>
      <c r="Q12" s="10">
        <v>8.3948999999999998</v>
      </c>
      <c r="R12" s="10">
        <v>0.26029999999999998</v>
      </c>
      <c r="S12" s="10">
        <v>8.1346000000000007</v>
      </c>
      <c r="T12" s="8">
        <v>21</v>
      </c>
      <c r="U12" s="7">
        <v>43575</v>
      </c>
      <c r="V12" s="8">
        <v>9880795895</v>
      </c>
      <c r="W12" s="9" t="s">
        <v>79</v>
      </c>
      <c r="X12" s="8" t="s">
        <v>36</v>
      </c>
      <c r="Y12" s="9" t="s">
        <v>37</v>
      </c>
      <c r="Z12" s="8" t="s">
        <v>50</v>
      </c>
      <c r="AA12" s="9" t="s">
        <v>51</v>
      </c>
      <c r="AB12" s="10">
        <f t="shared" si="0"/>
        <v>8.3948999999999996E-2</v>
      </c>
    </row>
    <row r="13" spans="1:28" s="4" customFormat="1" ht="13" x14ac:dyDescent="0.3">
      <c r="A13" s="5">
        <v>597</v>
      </c>
      <c r="B13" s="6" t="s">
        <v>28</v>
      </c>
      <c r="C13" s="7">
        <v>43580</v>
      </c>
      <c r="D13" s="8">
        <v>14</v>
      </c>
      <c r="E13" s="9" t="s">
        <v>53</v>
      </c>
      <c r="F13" s="8" t="s">
        <v>80</v>
      </c>
      <c r="G13" s="9" t="s">
        <v>81</v>
      </c>
      <c r="H13" s="8" t="str">
        <f>"000026"</f>
        <v>000026</v>
      </c>
      <c r="I13" s="7">
        <v>42958</v>
      </c>
      <c r="J13" s="8" t="str">
        <f>"000045"</f>
        <v>000045</v>
      </c>
      <c r="K13" s="7">
        <v>43259</v>
      </c>
      <c r="L13" s="8" t="str">
        <f>"000095"</f>
        <v>000095</v>
      </c>
      <c r="M13" s="7">
        <v>43286</v>
      </c>
      <c r="N13" s="8">
        <v>17</v>
      </c>
      <c r="O13" s="8" t="str">
        <f>"000958"</f>
        <v>000958</v>
      </c>
      <c r="P13" s="7">
        <v>43579</v>
      </c>
      <c r="Q13" s="10">
        <v>39.978700000000003</v>
      </c>
      <c r="R13" s="10">
        <v>3.23828</v>
      </c>
      <c r="S13" s="10">
        <v>36.74042</v>
      </c>
      <c r="T13" s="8">
        <v>27</v>
      </c>
      <c r="U13" s="7">
        <v>43580</v>
      </c>
      <c r="V13" s="8">
        <v>9036033962</v>
      </c>
      <c r="W13" s="9" t="s">
        <v>49</v>
      </c>
      <c r="X13" s="8" t="s">
        <v>29</v>
      </c>
      <c r="Y13" s="9" t="s">
        <v>30</v>
      </c>
      <c r="Z13" s="8" t="s">
        <v>56</v>
      </c>
      <c r="AA13" s="9" t="s">
        <v>57</v>
      </c>
      <c r="AB13" s="10">
        <f t="shared" si="0"/>
        <v>0.39978700000000006</v>
      </c>
    </row>
    <row r="14" spans="1:28" s="4" customFormat="1" ht="13" x14ac:dyDescent="0.3">
      <c r="A14" s="5">
        <v>598</v>
      </c>
      <c r="B14" s="6" t="s">
        <v>28</v>
      </c>
      <c r="C14" s="7">
        <v>43580</v>
      </c>
      <c r="D14" s="8">
        <v>14</v>
      </c>
      <c r="E14" s="9" t="s">
        <v>53</v>
      </c>
      <c r="F14" s="8" t="s">
        <v>82</v>
      </c>
      <c r="G14" s="9" t="s">
        <v>83</v>
      </c>
      <c r="H14" s="8" t="str">
        <f>"000116"</f>
        <v>000116</v>
      </c>
      <c r="I14" s="7">
        <v>42908</v>
      </c>
      <c r="J14" s="8" t="str">
        <f>"000O00"</f>
        <v>000O00</v>
      </c>
      <c r="K14" s="7">
        <v>42916</v>
      </c>
      <c r="L14" s="8" t="str">
        <f>"000135"</f>
        <v>000135</v>
      </c>
      <c r="M14" s="7">
        <v>42916</v>
      </c>
      <c r="N14" s="8">
        <v>16</v>
      </c>
      <c r="O14" s="8" t="str">
        <f>"000726"</f>
        <v>000726</v>
      </c>
      <c r="P14" s="7">
        <v>43578</v>
      </c>
      <c r="Q14" s="10">
        <v>25.988340000000001</v>
      </c>
      <c r="R14" s="10">
        <v>1.90347</v>
      </c>
      <c r="S14" s="10">
        <v>24.084869999999999</v>
      </c>
      <c r="T14" s="8">
        <v>28</v>
      </c>
      <c r="U14" s="7">
        <v>43580</v>
      </c>
      <c r="V14" s="8">
        <v>9743188999</v>
      </c>
      <c r="W14" s="9" t="s">
        <v>84</v>
      </c>
      <c r="X14" s="8" t="s">
        <v>39</v>
      </c>
      <c r="Y14" s="9" t="s">
        <v>40</v>
      </c>
      <c r="Z14" s="8" t="s">
        <v>56</v>
      </c>
      <c r="AA14" s="9" t="s">
        <v>57</v>
      </c>
      <c r="AB14" s="10">
        <f t="shared" si="0"/>
        <v>0.25988339999999999</v>
      </c>
    </row>
    <row r="15" spans="1:28" s="4" customFormat="1" ht="13" x14ac:dyDescent="0.3">
      <c r="A15" s="5">
        <v>599</v>
      </c>
      <c r="B15" s="6" t="s">
        <v>38</v>
      </c>
      <c r="C15" s="7">
        <v>43591</v>
      </c>
      <c r="D15" s="8">
        <v>14</v>
      </c>
      <c r="E15" s="9" t="s">
        <v>53</v>
      </c>
      <c r="F15" s="8" t="s">
        <v>91</v>
      </c>
      <c r="G15" s="9" t="s">
        <v>92</v>
      </c>
      <c r="H15" s="8" t="str">
        <f>"0O0132"</f>
        <v>0O0132</v>
      </c>
      <c r="I15" s="7">
        <v>42802</v>
      </c>
      <c r="J15" s="8" t="str">
        <f>"000082"</f>
        <v>000082</v>
      </c>
      <c r="K15" s="7">
        <v>42916</v>
      </c>
      <c r="L15" s="8" t="str">
        <f>"000173"</f>
        <v>000173</v>
      </c>
      <c r="M15" s="7">
        <v>42916</v>
      </c>
      <c r="N15" s="8">
        <v>16</v>
      </c>
      <c r="O15" s="8" t="str">
        <f>"001182"</f>
        <v>001182</v>
      </c>
      <c r="P15" s="7">
        <v>43582</v>
      </c>
      <c r="Q15" s="10">
        <v>49.426349999999999</v>
      </c>
      <c r="R15" s="10">
        <v>3.6328200000000002</v>
      </c>
      <c r="S15" s="10">
        <v>45.793529999999997</v>
      </c>
      <c r="T15" s="8">
        <v>37</v>
      </c>
      <c r="U15" s="7">
        <v>43591</v>
      </c>
      <c r="V15" s="8">
        <v>8884965645</v>
      </c>
      <c r="W15" s="9" t="s">
        <v>93</v>
      </c>
      <c r="X15" s="8" t="s">
        <v>39</v>
      </c>
      <c r="Y15" s="9" t="s">
        <v>40</v>
      </c>
      <c r="Z15" s="8" t="s">
        <v>56</v>
      </c>
      <c r="AA15" s="9" t="s">
        <v>57</v>
      </c>
      <c r="AB15" s="10">
        <f t="shared" si="0"/>
        <v>0.49426349999999997</v>
      </c>
    </row>
    <row r="16" spans="1:28" s="4" customFormat="1" ht="13" x14ac:dyDescent="0.3">
      <c r="A16" s="5">
        <v>600</v>
      </c>
      <c r="B16" s="6" t="s">
        <v>38</v>
      </c>
      <c r="C16" s="7">
        <v>43600</v>
      </c>
      <c r="D16" s="8">
        <v>14</v>
      </c>
      <c r="E16" s="9" t="s">
        <v>53</v>
      </c>
      <c r="F16" s="8" t="s">
        <v>94</v>
      </c>
      <c r="G16" s="9" t="s">
        <v>95</v>
      </c>
      <c r="H16" s="8" t="str">
        <f>"000380"</f>
        <v>000380</v>
      </c>
      <c r="I16" s="7">
        <v>43186</v>
      </c>
      <c r="J16" s="8" t="str">
        <f>"000001"</f>
        <v>000001</v>
      </c>
      <c r="K16" s="7">
        <v>43559</v>
      </c>
      <c r="L16" s="8" t="str">
        <f>"000007"</f>
        <v>000007</v>
      </c>
      <c r="M16" s="7">
        <v>43564</v>
      </c>
      <c r="N16" s="8">
        <v>18</v>
      </c>
      <c r="O16" s="8" t="str">
        <f>"001477"</f>
        <v>001477</v>
      </c>
      <c r="P16" s="7">
        <v>43598</v>
      </c>
      <c r="Q16" s="10">
        <v>49.510129999999997</v>
      </c>
      <c r="R16" s="10">
        <v>5.4947900000000001</v>
      </c>
      <c r="S16" s="10">
        <v>44.015340000000002</v>
      </c>
      <c r="T16" s="8">
        <v>44</v>
      </c>
      <c r="U16" s="7">
        <v>43600</v>
      </c>
      <c r="V16" s="8">
        <v>9743188999</v>
      </c>
      <c r="W16" s="9" t="s">
        <v>49</v>
      </c>
      <c r="X16" s="8" t="s">
        <v>45</v>
      </c>
      <c r="Y16" s="9" t="s">
        <v>46</v>
      </c>
      <c r="Z16" s="8" t="s">
        <v>56</v>
      </c>
      <c r="AA16" s="9" t="s">
        <v>57</v>
      </c>
      <c r="AB16" s="10">
        <f t="shared" si="0"/>
        <v>0.49510129999999997</v>
      </c>
    </row>
    <row r="17" spans="1:28" s="4" customFormat="1" ht="13" x14ac:dyDescent="0.3">
      <c r="A17" s="5">
        <v>601</v>
      </c>
      <c r="B17" s="6" t="s">
        <v>38</v>
      </c>
      <c r="C17" s="7">
        <v>43603</v>
      </c>
      <c r="D17" s="8">
        <v>14</v>
      </c>
      <c r="E17" s="9" t="s">
        <v>53</v>
      </c>
      <c r="F17" s="8" t="s">
        <v>96</v>
      </c>
      <c r="G17" s="9" t="s">
        <v>97</v>
      </c>
      <c r="H17" s="8" t="str">
        <f>"000028"</f>
        <v>000028</v>
      </c>
      <c r="I17" s="7">
        <v>42958</v>
      </c>
      <c r="J17" s="8" t="str">
        <f>"000017"</f>
        <v>000017</v>
      </c>
      <c r="K17" s="7">
        <v>43034</v>
      </c>
      <c r="L17" s="8" t="str">
        <f>"000044"</f>
        <v>000044</v>
      </c>
      <c r="M17" s="7">
        <v>43035</v>
      </c>
      <c r="N17" s="8">
        <v>18</v>
      </c>
      <c r="O17" s="8" t="str">
        <f>"001746"</f>
        <v>001746</v>
      </c>
      <c r="P17" s="7">
        <v>43602</v>
      </c>
      <c r="Q17" s="10">
        <v>49.99053</v>
      </c>
      <c r="R17" s="10">
        <v>4.6673400000000003</v>
      </c>
      <c r="S17" s="10">
        <v>45.323189999999997</v>
      </c>
      <c r="T17" s="8">
        <v>50</v>
      </c>
      <c r="U17" s="7">
        <v>43603</v>
      </c>
      <c r="V17" s="8">
        <v>9900175940</v>
      </c>
      <c r="W17" s="9" t="s">
        <v>49</v>
      </c>
      <c r="X17" s="8" t="s">
        <v>98</v>
      </c>
      <c r="Y17" s="9" t="s">
        <v>99</v>
      </c>
      <c r="Z17" s="8" t="s">
        <v>56</v>
      </c>
      <c r="AA17" s="9" t="s">
        <v>57</v>
      </c>
      <c r="AB17" s="10">
        <f t="shared" si="0"/>
        <v>0.4999053</v>
      </c>
    </row>
    <row r="18" spans="1:28" s="4" customFormat="1" ht="13" x14ac:dyDescent="0.3">
      <c r="A18" s="5">
        <v>602</v>
      </c>
      <c r="B18" s="6" t="s">
        <v>38</v>
      </c>
      <c r="C18" s="7">
        <v>43603</v>
      </c>
      <c r="D18" s="8">
        <v>14</v>
      </c>
      <c r="E18" s="9" t="s">
        <v>53</v>
      </c>
      <c r="F18" s="8" t="s">
        <v>100</v>
      </c>
      <c r="G18" s="9" t="s">
        <v>101</v>
      </c>
      <c r="H18" s="8" t="str">
        <f>"000036"</f>
        <v>000036</v>
      </c>
      <c r="I18" s="7">
        <v>42970</v>
      </c>
      <c r="J18" s="8" t="str">
        <f>"000019"</f>
        <v>000019</v>
      </c>
      <c r="K18" s="7">
        <v>43034</v>
      </c>
      <c r="L18" s="8" t="str">
        <f>"000045"</f>
        <v>000045</v>
      </c>
      <c r="M18" s="7">
        <v>43035</v>
      </c>
      <c r="N18" s="8">
        <v>18</v>
      </c>
      <c r="O18" s="8" t="str">
        <f>"001747"</f>
        <v>001747</v>
      </c>
      <c r="P18" s="7">
        <v>43602</v>
      </c>
      <c r="Q18" s="10">
        <v>49.89188</v>
      </c>
      <c r="R18" s="10">
        <v>4.6264200000000004</v>
      </c>
      <c r="S18" s="10">
        <v>45.265459999999997</v>
      </c>
      <c r="T18" s="8">
        <v>50</v>
      </c>
      <c r="U18" s="7">
        <v>43603</v>
      </c>
      <c r="V18" s="8">
        <v>9900175940</v>
      </c>
      <c r="W18" s="9" t="s">
        <v>49</v>
      </c>
      <c r="X18" s="8" t="s">
        <v>98</v>
      </c>
      <c r="Y18" s="9" t="s">
        <v>99</v>
      </c>
      <c r="Z18" s="8" t="s">
        <v>56</v>
      </c>
      <c r="AA18" s="9" t="s">
        <v>57</v>
      </c>
      <c r="AB18" s="10">
        <f t="shared" si="0"/>
        <v>0.4989188</v>
      </c>
    </row>
    <row r="19" spans="1:28" s="4" customFormat="1" ht="13" x14ac:dyDescent="0.3">
      <c r="A19" s="5">
        <v>603</v>
      </c>
      <c r="B19" s="6" t="s">
        <v>38</v>
      </c>
      <c r="C19" s="7">
        <v>43603</v>
      </c>
      <c r="D19" s="8">
        <v>14</v>
      </c>
      <c r="E19" s="9" t="s">
        <v>53</v>
      </c>
      <c r="F19" s="8" t="s">
        <v>102</v>
      </c>
      <c r="G19" s="9" t="s">
        <v>103</v>
      </c>
      <c r="H19" s="8" t="str">
        <f>"000038"</f>
        <v>000038</v>
      </c>
      <c r="I19" s="7">
        <v>42977</v>
      </c>
      <c r="J19" s="8" t="str">
        <f>"000018"</f>
        <v>000018</v>
      </c>
      <c r="K19" s="7">
        <v>43034</v>
      </c>
      <c r="L19" s="8" t="str">
        <f>"000046"</f>
        <v>000046</v>
      </c>
      <c r="M19" s="7">
        <v>43035</v>
      </c>
      <c r="N19" s="8">
        <v>18</v>
      </c>
      <c r="O19" s="8" t="str">
        <f>"001751"</f>
        <v>001751</v>
      </c>
      <c r="P19" s="7">
        <v>43602</v>
      </c>
      <c r="Q19" s="10">
        <v>49.99053</v>
      </c>
      <c r="R19" s="10">
        <v>4.6473100000000001</v>
      </c>
      <c r="S19" s="10">
        <v>45.343220000000002</v>
      </c>
      <c r="T19" s="8">
        <v>50</v>
      </c>
      <c r="U19" s="7">
        <v>43603</v>
      </c>
      <c r="V19" s="8">
        <v>9972204400</v>
      </c>
      <c r="W19" s="9" t="s">
        <v>49</v>
      </c>
      <c r="X19" s="8" t="s">
        <v>98</v>
      </c>
      <c r="Y19" s="9" t="s">
        <v>99</v>
      </c>
      <c r="Z19" s="8" t="s">
        <v>56</v>
      </c>
      <c r="AA19" s="9" t="s">
        <v>57</v>
      </c>
      <c r="AB19" s="10">
        <f t="shared" si="0"/>
        <v>0.4999053</v>
      </c>
    </row>
    <row r="20" spans="1:28" s="4" customFormat="1" ht="13" x14ac:dyDescent="0.3">
      <c r="A20" s="5">
        <v>604</v>
      </c>
      <c r="B20" s="6" t="s">
        <v>38</v>
      </c>
      <c r="C20" s="7">
        <v>43603</v>
      </c>
      <c r="D20" s="8">
        <v>14</v>
      </c>
      <c r="E20" s="9" t="s">
        <v>53</v>
      </c>
      <c r="F20" s="8" t="s">
        <v>104</v>
      </c>
      <c r="G20" s="9" t="s">
        <v>105</v>
      </c>
      <c r="H20" s="8" t="str">
        <f>"000029"</f>
        <v>000029</v>
      </c>
      <c r="I20" s="7">
        <v>42958</v>
      </c>
      <c r="J20" s="8" t="str">
        <f>"000016"</f>
        <v>000016</v>
      </c>
      <c r="K20" s="7">
        <v>43034</v>
      </c>
      <c r="L20" s="8" t="str">
        <f>"000047"</f>
        <v>000047</v>
      </c>
      <c r="M20" s="7">
        <v>43035</v>
      </c>
      <c r="N20" s="8">
        <v>18</v>
      </c>
      <c r="O20" s="8" t="str">
        <f>"001752"</f>
        <v>001752</v>
      </c>
      <c r="P20" s="7">
        <v>43602</v>
      </c>
      <c r="Q20" s="10">
        <v>49.984110000000001</v>
      </c>
      <c r="R20" s="10">
        <v>4.6429299999999998</v>
      </c>
      <c r="S20" s="10">
        <v>45.341180000000001</v>
      </c>
      <c r="T20" s="8">
        <v>50</v>
      </c>
      <c r="U20" s="7">
        <v>43603</v>
      </c>
      <c r="V20" s="8">
        <v>9900175940</v>
      </c>
      <c r="W20" s="9" t="s">
        <v>49</v>
      </c>
      <c r="X20" s="8" t="s">
        <v>106</v>
      </c>
      <c r="Y20" s="9" t="s">
        <v>107</v>
      </c>
      <c r="Z20" s="8" t="s">
        <v>56</v>
      </c>
      <c r="AA20" s="9" t="s">
        <v>57</v>
      </c>
      <c r="AB20" s="10">
        <f t="shared" si="0"/>
        <v>0.49984110000000004</v>
      </c>
    </row>
    <row r="21" spans="1:28" s="4" customFormat="1" ht="13" x14ac:dyDescent="0.3">
      <c r="A21" s="5">
        <v>605</v>
      </c>
      <c r="B21" s="6" t="s">
        <v>38</v>
      </c>
      <c r="C21" s="7">
        <v>43603</v>
      </c>
      <c r="D21" s="8">
        <v>14</v>
      </c>
      <c r="E21" s="9" t="s">
        <v>53</v>
      </c>
      <c r="F21" s="8" t="s">
        <v>108</v>
      </c>
      <c r="G21" s="9" t="s">
        <v>109</v>
      </c>
      <c r="H21" s="8" t="str">
        <f>"000037"</f>
        <v>000037</v>
      </c>
      <c r="I21" s="7">
        <v>42970</v>
      </c>
      <c r="J21" s="8" t="str">
        <f>"000015"</f>
        <v>000015</v>
      </c>
      <c r="K21" s="7">
        <v>43034</v>
      </c>
      <c r="L21" s="8" t="str">
        <f>"000048"</f>
        <v>000048</v>
      </c>
      <c r="M21" s="7">
        <v>43035</v>
      </c>
      <c r="N21" s="8">
        <v>18</v>
      </c>
      <c r="O21" s="8" t="str">
        <f>"001753"</f>
        <v>001753</v>
      </c>
      <c r="P21" s="7">
        <v>43602</v>
      </c>
      <c r="Q21" s="10">
        <v>49.99568</v>
      </c>
      <c r="R21" s="10">
        <v>4.6620299999999997</v>
      </c>
      <c r="S21" s="10">
        <v>45.333649999999999</v>
      </c>
      <c r="T21" s="8">
        <v>50</v>
      </c>
      <c r="U21" s="7">
        <v>43603</v>
      </c>
      <c r="V21" s="8">
        <v>9900175940</v>
      </c>
      <c r="W21" s="9" t="s">
        <v>49</v>
      </c>
      <c r="X21" s="8" t="s">
        <v>98</v>
      </c>
      <c r="Y21" s="9" t="s">
        <v>99</v>
      </c>
      <c r="Z21" s="8" t="s">
        <v>56</v>
      </c>
      <c r="AA21" s="9" t="s">
        <v>57</v>
      </c>
      <c r="AB21" s="10">
        <f t="shared" si="0"/>
        <v>0.49995679999999998</v>
      </c>
    </row>
    <row r="22" spans="1:28" s="4" customFormat="1" ht="13" x14ac:dyDescent="0.3">
      <c r="A22" s="5">
        <v>606</v>
      </c>
      <c r="B22" s="6" t="s">
        <v>38</v>
      </c>
      <c r="C22" s="7">
        <v>43606</v>
      </c>
      <c r="D22" s="8">
        <v>14</v>
      </c>
      <c r="E22" s="9" t="s">
        <v>53</v>
      </c>
      <c r="F22" s="8" t="s">
        <v>73</v>
      </c>
      <c r="G22" s="9" t="s">
        <v>74</v>
      </c>
      <c r="H22" s="8" t="str">
        <f>"0011"</f>
        <v>0011</v>
      </c>
      <c r="I22" s="7" t="s">
        <v>75</v>
      </c>
      <c r="J22" s="8" t="str">
        <f>"000014"</f>
        <v>000014</v>
      </c>
      <c r="K22" s="7">
        <v>43105</v>
      </c>
      <c r="L22" s="8" t="str">
        <f>"000015"</f>
        <v>000015</v>
      </c>
      <c r="M22" s="7">
        <v>43105</v>
      </c>
      <c r="N22" s="8">
        <v>16</v>
      </c>
      <c r="O22" s="8" t="str">
        <f>"004449"</f>
        <v>004449</v>
      </c>
      <c r="P22" s="7">
        <v>43307</v>
      </c>
      <c r="Q22" s="10">
        <v>3.7696700000000001</v>
      </c>
      <c r="R22" s="10">
        <v>0.85607999999999995</v>
      </c>
      <c r="S22" s="10">
        <v>2.9135900000000001</v>
      </c>
      <c r="T22" s="8">
        <v>55</v>
      </c>
      <c r="U22" s="7">
        <v>43606</v>
      </c>
      <c r="V22" s="8">
        <v>9880467865</v>
      </c>
      <c r="W22" s="9" t="s">
        <v>76</v>
      </c>
      <c r="X22" s="8" t="s">
        <v>31</v>
      </c>
      <c r="Y22" s="9" t="s">
        <v>32</v>
      </c>
      <c r="Z22" s="8" t="s">
        <v>50</v>
      </c>
      <c r="AA22" s="9" t="s">
        <v>51</v>
      </c>
      <c r="AB22" s="10">
        <f t="shared" si="0"/>
        <v>3.76967E-2</v>
      </c>
    </row>
    <row r="23" spans="1:28" s="4" customFormat="1" ht="13" x14ac:dyDescent="0.3">
      <c r="A23" s="5">
        <v>607</v>
      </c>
      <c r="B23" s="6" t="s">
        <v>35</v>
      </c>
      <c r="C23" s="7">
        <v>43617</v>
      </c>
      <c r="D23" s="8">
        <v>14</v>
      </c>
      <c r="E23" s="9" t="s">
        <v>53</v>
      </c>
      <c r="F23" s="8" t="s">
        <v>85</v>
      </c>
      <c r="G23" s="9" t="s">
        <v>86</v>
      </c>
      <c r="H23" s="8" t="str">
        <f>"000273"</f>
        <v>000273</v>
      </c>
      <c r="I23" s="7">
        <v>43444</v>
      </c>
      <c r="J23" s="8" t="str">
        <f>"000005"</f>
        <v>000005</v>
      </c>
      <c r="K23" s="7">
        <v>43599</v>
      </c>
      <c r="L23" s="8" t="str">
        <f>"000035"</f>
        <v>000035</v>
      </c>
      <c r="M23" s="7">
        <v>43600</v>
      </c>
      <c r="N23" s="8">
        <v>18</v>
      </c>
      <c r="O23" s="8" t="str">
        <f>"002038"</f>
        <v>002038</v>
      </c>
      <c r="P23" s="7">
        <v>43609</v>
      </c>
      <c r="Q23" s="10">
        <v>98.819100000000006</v>
      </c>
      <c r="R23" s="10">
        <v>4.5289999999999999</v>
      </c>
      <c r="S23" s="10">
        <v>94.290099999999995</v>
      </c>
      <c r="T23" s="8">
        <v>68</v>
      </c>
      <c r="U23" s="7">
        <v>43617</v>
      </c>
      <c r="V23" s="8">
        <v>9036033962</v>
      </c>
      <c r="W23" s="9" t="s">
        <v>52</v>
      </c>
      <c r="X23" s="8" t="s">
        <v>33</v>
      </c>
      <c r="Y23" s="9" t="s">
        <v>34</v>
      </c>
      <c r="Z23" s="8" t="s">
        <v>56</v>
      </c>
      <c r="AA23" s="9" t="s">
        <v>57</v>
      </c>
      <c r="AB23" s="10">
        <v>0.98819100000000004</v>
      </c>
    </row>
    <row r="24" spans="1:28" s="4" customFormat="1" ht="13" x14ac:dyDescent="0.3">
      <c r="A24" s="5">
        <v>608</v>
      </c>
      <c r="B24" s="6" t="s">
        <v>35</v>
      </c>
      <c r="C24" s="7">
        <v>43623</v>
      </c>
      <c r="D24" s="8">
        <v>14</v>
      </c>
      <c r="E24" s="9" t="s">
        <v>53</v>
      </c>
      <c r="F24" s="8" t="s">
        <v>73</v>
      </c>
      <c r="G24" s="9" t="s">
        <v>87</v>
      </c>
      <c r="H24" s="8" t="str">
        <f>"0011"</f>
        <v>0011</v>
      </c>
      <c r="I24" s="7" t="s">
        <v>75</v>
      </c>
      <c r="J24" s="8" t="str">
        <f>"000014"</f>
        <v>000014</v>
      </c>
      <c r="K24" s="7">
        <v>43105</v>
      </c>
      <c r="L24" s="8" t="str">
        <f>"000015"</f>
        <v>000015</v>
      </c>
      <c r="M24" s="7">
        <v>43105</v>
      </c>
      <c r="N24" s="8">
        <v>16</v>
      </c>
      <c r="O24" s="8" t="str">
        <f>"004449"</f>
        <v>004449</v>
      </c>
      <c r="P24" s="7">
        <v>43307</v>
      </c>
      <c r="Q24" s="10">
        <v>5.6544999999999996</v>
      </c>
      <c r="R24" s="10">
        <v>0.72111999999999998</v>
      </c>
      <c r="S24" s="10">
        <v>4.9333799999999997</v>
      </c>
      <c r="T24" s="8">
        <v>73</v>
      </c>
      <c r="U24" s="7">
        <v>43623</v>
      </c>
      <c r="V24" s="8">
        <v>9880467865</v>
      </c>
      <c r="W24" s="9" t="s">
        <v>76</v>
      </c>
      <c r="X24" s="8" t="s">
        <v>31</v>
      </c>
      <c r="Y24" s="9" t="s">
        <v>32</v>
      </c>
      <c r="Z24" s="8" t="s">
        <v>50</v>
      </c>
      <c r="AA24" s="9" t="s">
        <v>51</v>
      </c>
      <c r="AB24" s="10">
        <v>5.6544999999999998E-2</v>
      </c>
    </row>
    <row r="25" spans="1:28" s="4" customFormat="1" ht="13" x14ac:dyDescent="0.3">
      <c r="A25" s="5">
        <v>609</v>
      </c>
      <c r="B25" s="6" t="s">
        <v>35</v>
      </c>
      <c r="C25" s="7">
        <v>43641</v>
      </c>
      <c r="D25" s="8">
        <v>14</v>
      </c>
      <c r="E25" s="9" t="s">
        <v>53</v>
      </c>
      <c r="F25" s="8" t="s">
        <v>88</v>
      </c>
      <c r="G25" s="9" t="s">
        <v>89</v>
      </c>
      <c r="H25" s="8" t="str">
        <f>"000351"</f>
        <v>000351</v>
      </c>
      <c r="I25" s="7">
        <v>43519</v>
      </c>
      <c r="J25" s="8" t="str">
        <f>"000007"</f>
        <v>000007</v>
      </c>
      <c r="K25" s="7">
        <v>43601</v>
      </c>
      <c r="L25" s="8" t="str">
        <f>"000043"</f>
        <v>000043</v>
      </c>
      <c r="M25" s="7">
        <v>43609</v>
      </c>
      <c r="N25" s="8">
        <v>19</v>
      </c>
      <c r="O25" s="8" t="str">
        <f>"002854"</f>
        <v>002854</v>
      </c>
      <c r="P25" s="7">
        <v>43636</v>
      </c>
      <c r="Q25" s="10">
        <v>23.735050000000001</v>
      </c>
      <c r="R25" s="10">
        <v>0.99256</v>
      </c>
      <c r="S25" s="10">
        <v>22.74249</v>
      </c>
      <c r="T25" s="8">
        <v>93</v>
      </c>
      <c r="U25" s="7">
        <v>43641</v>
      </c>
      <c r="V25" s="8">
        <v>9845736688</v>
      </c>
      <c r="W25" s="9" t="s">
        <v>90</v>
      </c>
      <c r="X25" s="8" t="s">
        <v>47</v>
      </c>
      <c r="Y25" s="9" t="s">
        <v>48</v>
      </c>
      <c r="Z25" s="8" t="s">
        <v>56</v>
      </c>
      <c r="AA25" s="9" t="s">
        <v>57</v>
      </c>
      <c r="AB25" s="10">
        <v>0.23735050000000002</v>
      </c>
    </row>
    <row r="26" spans="1:28" s="4" customFormat="1" ht="13" x14ac:dyDescent="0.3">
      <c r="A26" s="5">
        <v>610</v>
      </c>
      <c r="B26" s="6" t="s">
        <v>110</v>
      </c>
      <c r="C26" s="7">
        <v>43668</v>
      </c>
      <c r="D26" s="8">
        <v>14</v>
      </c>
      <c r="E26" s="9" t="s">
        <v>53</v>
      </c>
      <c r="F26" s="8" t="s">
        <v>111</v>
      </c>
      <c r="G26" s="11" t="s">
        <v>112</v>
      </c>
      <c r="H26" s="8" t="str">
        <f>"000025"</f>
        <v>000025</v>
      </c>
      <c r="I26" s="7">
        <v>43321</v>
      </c>
      <c r="J26" s="8" t="str">
        <f>"000012"</f>
        <v>000012</v>
      </c>
      <c r="K26" s="7">
        <v>43628</v>
      </c>
      <c r="L26" s="8" t="str">
        <f>"000065"</f>
        <v>000065</v>
      </c>
      <c r="M26" s="7">
        <v>43630</v>
      </c>
      <c r="N26" s="8">
        <v>18</v>
      </c>
      <c r="O26" s="8" t="str">
        <f>"003691"</f>
        <v>003691</v>
      </c>
      <c r="P26" s="7">
        <v>43664</v>
      </c>
      <c r="Q26" s="12">
        <v>49.820230000000002</v>
      </c>
      <c r="R26" s="12">
        <v>5.5518900000000002</v>
      </c>
      <c r="S26" s="12">
        <v>44.268340000000002</v>
      </c>
      <c r="T26" s="8">
        <v>120</v>
      </c>
      <c r="U26" s="7">
        <v>43668</v>
      </c>
      <c r="V26" s="8">
        <v>9449219009</v>
      </c>
      <c r="W26" s="11" t="s">
        <v>49</v>
      </c>
      <c r="X26" s="8" t="s">
        <v>33</v>
      </c>
      <c r="Y26" s="11" t="s">
        <v>34</v>
      </c>
      <c r="Z26" s="8" t="s">
        <v>56</v>
      </c>
      <c r="AA26" s="11" t="s">
        <v>57</v>
      </c>
      <c r="AB26" s="12">
        <f t="shared" ref="AB26:AB35" si="1">Q26/100</f>
        <v>0.49820230000000004</v>
      </c>
    </row>
    <row r="27" spans="1:28" s="4" customFormat="1" ht="13" x14ac:dyDescent="0.3">
      <c r="A27" s="5">
        <v>611</v>
      </c>
      <c r="B27" s="6" t="s">
        <v>113</v>
      </c>
      <c r="C27" s="7">
        <v>43685</v>
      </c>
      <c r="D27" s="8">
        <v>14</v>
      </c>
      <c r="E27" s="9" t="s">
        <v>53</v>
      </c>
      <c r="F27" s="8" t="s">
        <v>114</v>
      </c>
      <c r="G27" s="11" t="s">
        <v>115</v>
      </c>
      <c r="H27" s="8" t="str">
        <f>"000344"</f>
        <v>000344</v>
      </c>
      <c r="I27" s="7">
        <v>43183</v>
      </c>
      <c r="J27" s="8" t="str">
        <f>"000038"</f>
        <v>000038</v>
      </c>
      <c r="K27" s="7">
        <v>43246</v>
      </c>
      <c r="L27" s="8" t="str">
        <f>"000144"</f>
        <v>000144</v>
      </c>
      <c r="M27" s="7">
        <v>43308</v>
      </c>
      <c r="N27" s="8">
        <v>18</v>
      </c>
      <c r="O27" s="8" t="str">
        <f>"004269"</f>
        <v>004269</v>
      </c>
      <c r="P27" s="7">
        <v>43680</v>
      </c>
      <c r="Q27" s="12">
        <v>9.9797100000000007</v>
      </c>
      <c r="R27" s="12">
        <v>0.82082999999999995</v>
      </c>
      <c r="S27" s="12">
        <v>9.1588799999999999</v>
      </c>
      <c r="T27" s="8">
        <v>145</v>
      </c>
      <c r="U27" s="7">
        <v>43685</v>
      </c>
      <c r="V27" s="8">
        <v>9449219009</v>
      </c>
      <c r="W27" s="11" t="s">
        <v>49</v>
      </c>
      <c r="X27" s="8" t="s">
        <v>116</v>
      </c>
      <c r="Y27" s="11" t="s">
        <v>117</v>
      </c>
      <c r="Z27" s="8" t="s">
        <v>56</v>
      </c>
      <c r="AA27" s="11" t="s">
        <v>57</v>
      </c>
      <c r="AB27" s="12">
        <f t="shared" si="1"/>
        <v>9.9797100000000014E-2</v>
      </c>
    </row>
    <row r="28" spans="1:28" s="4" customFormat="1" ht="13" x14ac:dyDescent="0.3">
      <c r="A28" s="5">
        <v>612</v>
      </c>
      <c r="B28" s="6" t="s">
        <v>113</v>
      </c>
      <c r="C28" s="7">
        <v>43685</v>
      </c>
      <c r="D28" s="8">
        <v>14</v>
      </c>
      <c r="E28" s="9" t="s">
        <v>53</v>
      </c>
      <c r="F28" s="8" t="s">
        <v>118</v>
      </c>
      <c r="G28" s="11" t="s">
        <v>119</v>
      </c>
      <c r="H28" s="8" t="str">
        <f>"000364"</f>
        <v>000364</v>
      </c>
      <c r="I28" s="7">
        <v>43185</v>
      </c>
      <c r="J28" s="8" t="str">
        <f>"000039"</f>
        <v>000039</v>
      </c>
      <c r="K28" s="7">
        <v>43246</v>
      </c>
      <c r="L28" s="8" t="str">
        <f>"000145"</f>
        <v>000145</v>
      </c>
      <c r="M28" s="7">
        <v>43308</v>
      </c>
      <c r="N28" s="8">
        <v>18</v>
      </c>
      <c r="O28" s="8" t="str">
        <f>"004270"</f>
        <v>004270</v>
      </c>
      <c r="P28" s="7">
        <v>43680</v>
      </c>
      <c r="Q28" s="12">
        <v>4.9896399999999996</v>
      </c>
      <c r="R28" s="12">
        <v>0.40416000000000002</v>
      </c>
      <c r="S28" s="12">
        <v>4.5854799999999996</v>
      </c>
      <c r="T28" s="8">
        <v>145</v>
      </c>
      <c r="U28" s="7">
        <v>43685</v>
      </c>
      <c r="V28" s="8">
        <v>9449219002</v>
      </c>
      <c r="W28" s="11" t="s">
        <v>49</v>
      </c>
      <c r="X28" s="8" t="s">
        <v>116</v>
      </c>
      <c r="Y28" s="11" t="s">
        <v>117</v>
      </c>
      <c r="Z28" s="8" t="s">
        <v>56</v>
      </c>
      <c r="AA28" s="11" t="s">
        <v>57</v>
      </c>
      <c r="AB28" s="12">
        <f t="shared" si="1"/>
        <v>4.9896399999999994E-2</v>
      </c>
    </row>
    <row r="29" spans="1:28" s="4" customFormat="1" ht="13" x14ac:dyDescent="0.3">
      <c r="A29" s="5">
        <v>613</v>
      </c>
      <c r="B29" s="6" t="s">
        <v>120</v>
      </c>
      <c r="C29" s="7">
        <v>43732</v>
      </c>
      <c r="D29" s="8">
        <v>14</v>
      </c>
      <c r="E29" s="9" t="s">
        <v>53</v>
      </c>
      <c r="F29" s="8" t="s">
        <v>121</v>
      </c>
      <c r="G29" s="11" t="s">
        <v>122</v>
      </c>
      <c r="H29" s="8" t="str">
        <f>"000240"</f>
        <v>000240</v>
      </c>
      <c r="I29" s="7">
        <v>43155</v>
      </c>
      <c r="J29" s="8" t="str">
        <f>"000005"</f>
        <v>000005</v>
      </c>
      <c r="K29" s="7">
        <v>43192</v>
      </c>
      <c r="L29" s="8" t="str">
        <f>"000004"</f>
        <v>000004</v>
      </c>
      <c r="M29" s="7">
        <v>43196</v>
      </c>
      <c r="N29" s="8">
        <v>18</v>
      </c>
      <c r="O29" s="8" t="str">
        <f>"005300"</f>
        <v>005300</v>
      </c>
      <c r="P29" s="7">
        <v>43729</v>
      </c>
      <c r="Q29" s="12">
        <v>19.859739999999999</v>
      </c>
      <c r="R29" s="12">
        <v>0.59294000000000002</v>
      </c>
      <c r="S29" s="12">
        <v>19.2668</v>
      </c>
      <c r="T29" s="8">
        <v>199</v>
      </c>
      <c r="U29" s="7">
        <v>43732</v>
      </c>
      <c r="V29" s="8">
        <v>9972373635</v>
      </c>
      <c r="W29" s="11" t="s">
        <v>123</v>
      </c>
      <c r="X29" s="8" t="s">
        <v>36</v>
      </c>
      <c r="Y29" s="11" t="s">
        <v>37</v>
      </c>
      <c r="Z29" s="8" t="s">
        <v>56</v>
      </c>
      <c r="AA29" s="11" t="s">
        <v>57</v>
      </c>
      <c r="AB29" s="12">
        <f t="shared" si="1"/>
        <v>0.19859739999999998</v>
      </c>
    </row>
    <row r="30" spans="1:28" s="4" customFormat="1" ht="13" x14ac:dyDescent="0.3">
      <c r="A30" s="5">
        <v>614</v>
      </c>
      <c r="B30" s="6" t="s">
        <v>120</v>
      </c>
      <c r="C30" s="7">
        <v>43732</v>
      </c>
      <c r="D30" s="8">
        <v>14</v>
      </c>
      <c r="E30" s="9" t="s">
        <v>53</v>
      </c>
      <c r="F30" s="8" t="s">
        <v>124</v>
      </c>
      <c r="G30" s="11" t="s">
        <v>125</v>
      </c>
      <c r="H30" s="8" t="str">
        <f>"000028"</f>
        <v>000028</v>
      </c>
      <c r="I30" s="7">
        <v>43180</v>
      </c>
      <c r="J30" s="8" t="str">
        <f>"000002"</f>
        <v>000002</v>
      </c>
      <c r="K30" s="7">
        <v>43201</v>
      </c>
      <c r="L30" s="8" t="str">
        <f>"000002"</f>
        <v>000002</v>
      </c>
      <c r="M30" s="7">
        <v>43201</v>
      </c>
      <c r="N30" s="8">
        <v>18</v>
      </c>
      <c r="O30" s="8" t="str">
        <f>"005326"</f>
        <v>005326</v>
      </c>
      <c r="P30" s="7">
        <v>43729</v>
      </c>
      <c r="Q30" s="12">
        <v>28.048919999999999</v>
      </c>
      <c r="R30" s="12">
        <v>2.2719999999999998</v>
      </c>
      <c r="S30" s="12">
        <v>25.77692</v>
      </c>
      <c r="T30" s="8">
        <v>199</v>
      </c>
      <c r="U30" s="7">
        <v>43732</v>
      </c>
      <c r="V30" s="8">
        <v>9986313631</v>
      </c>
      <c r="W30" s="11" t="s">
        <v>126</v>
      </c>
      <c r="X30" s="8" t="s">
        <v>127</v>
      </c>
      <c r="Y30" s="11" t="s">
        <v>128</v>
      </c>
      <c r="Z30" s="8" t="s">
        <v>50</v>
      </c>
      <c r="AA30" s="11" t="s">
        <v>51</v>
      </c>
      <c r="AB30" s="12">
        <f t="shared" si="1"/>
        <v>0.28048919999999999</v>
      </c>
    </row>
    <row r="31" spans="1:28" s="4" customFormat="1" ht="13" x14ac:dyDescent="0.3">
      <c r="A31" s="5">
        <v>615</v>
      </c>
      <c r="B31" s="6" t="s">
        <v>120</v>
      </c>
      <c r="C31" s="7">
        <v>43732</v>
      </c>
      <c r="D31" s="8">
        <v>14</v>
      </c>
      <c r="E31" s="9" t="s">
        <v>53</v>
      </c>
      <c r="F31" s="8" t="s">
        <v>129</v>
      </c>
      <c r="G31" s="11" t="s">
        <v>130</v>
      </c>
      <c r="H31" s="8" t="str">
        <f>"000186"</f>
        <v>000186</v>
      </c>
      <c r="I31" s="7">
        <v>43111</v>
      </c>
      <c r="J31" s="8" t="str">
        <f>"000014"</f>
        <v>000014</v>
      </c>
      <c r="K31" s="7">
        <v>43201</v>
      </c>
      <c r="L31" s="8" t="str">
        <f>"000012"</f>
        <v>000012</v>
      </c>
      <c r="M31" s="7">
        <v>43207</v>
      </c>
      <c r="N31" s="8">
        <v>18</v>
      </c>
      <c r="O31" s="8" t="str">
        <f>"005333"</f>
        <v>005333</v>
      </c>
      <c r="P31" s="7">
        <v>43729</v>
      </c>
      <c r="Q31" s="12">
        <v>50.138309999999997</v>
      </c>
      <c r="R31" s="12">
        <v>1.67963</v>
      </c>
      <c r="S31" s="12">
        <v>48.458680000000001</v>
      </c>
      <c r="T31" s="8">
        <v>199</v>
      </c>
      <c r="U31" s="7">
        <v>43732</v>
      </c>
      <c r="V31" s="8">
        <v>9964577113</v>
      </c>
      <c r="W31" s="11" t="s">
        <v>131</v>
      </c>
      <c r="X31" s="8" t="s">
        <v>132</v>
      </c>
      <c r="Y31" s="11" t="s">
        <v>133</v>
      </c>
      <c r="Z31" s="8" t="s">
        <v>56</v>
      </c>
      <c r="AA31" s="11" t="s">
        <v>57</v>
      </c>
      <c r="AB31" s="12">
        <f t="shared" si="1"/>
        <v>0.50138309999999997</v>
      </c>
    </row>
    <row r="32" spans="1:28" s="4" customFormat="1" ht="13" x14ac:dyDescent="0.3">
      <c r="A32" s="5">
        <v>616</v>
      </c>
      <c r="B32" s="6" t="s">
        <v>120</v>
      </c>
      <c r="C32" s="7">
        <v>43732</v>
      </c>
      <c r="D32" s="8">
        <v>14</v>
      </c>
      <c r="E32" s="9" t="s">
        <v>53</v>
      </c>
      <c r="F32" s="8" t="s">
        <v>134</v>
      </c>
      <c r="G32" s="11" t="s">
        <v>135</v>
      </c>
      <c r="H32" s="8" t="str">
        <f>"000207"</f>
        <v>000207</v>
      </c>
      <c r="I32" s="7">
        <v>43123</v>
      </c>
      <c r="J32" s="8" t="str">
        <f>"000013"</f>
        <v>000013</v>
      </c>
      <c r="K32" s="7">
        <v>43201</v>
      </c>
      <c r="L32" s="8" t="str">
        <f>"000013"</f>
        <v>000013</v>
      </c>
      <c r="M32" s="7">
        <v>43207</v>
      </c>
      <c r="N32" s="8">
        <v>18</v>
      </c>
      <c r="O32" s="8" t="str">
        <f>"005334"</f>
        <v>005334</v>
      </c>
      <c r="P32" s="7">
        <v>43729</v>
      </c>
      <c r="Q32" s="12">
        <v>50.104280000000003</v>
      </c>
      <c r="R32" s="12">
        <v>1.67848</v>
      </c>
      <c r="S32" s="12">
        <v>48.425800000000002</v>
      </c>
      <c r="T32" s="8">
        <v>199</v>
      </c>
      <c r="U32" s="7">
        <v>43732</v>
      </c>
      <c r="V32" s="8">
        <v>9449219009</v>
      </c>
      <c r="W32" s="11" t="s">
        <v>136</v>
      </c>
      <c r="X32" s="8" t="s">
        <v>132</v>
      </c>
      <c r="Y32" s="11" t="s">
        <v>133</v>
      </c>
      <c r="Z32" s="8" t="s">
        <v>56</v>
      </c>
      <c r="AA32" s="11" t="s">
        <v>57</v>
      </c>
      <c r="AB32" s="12">
        <f t="shared" si="1"/>
        <v>0.50104280000000001</v>
      </c>
    </row>
    <row r="33" spans="1:28" s="4" customFormat="1" ht="13" x14ac:dyDescent="0.3">
      <c r="A33" s="5">
        <v>617</v>
      </c>
      <c r="B33" s="6" t="s">
        <v>120</v>
      </c>
      <c r="C33" s="7">
        <v>43732</v>
      </c>
      <c r="D33" s="8">
        <v>14</v>
      </c>
      <c r="E33" s="9" t="s">
        <v>53</v>
      </c>
      <c r="F33" s="8" t="s">
        <v>137</v>
      </c>
      <c r="G33" s="11" t="s">
        <v>138</v>
      </c>
      <c r="H33" s="8" t="str">
        <f>"000189"</f>
        <v>000189</v>
      </c>
      <c r="I33" s="7">
        <v>43111</v>
      </c>
      <c r="J33" s="8" t="str">
        <f>"000012"</f>
        <v>000012</v>
      </c>
      <c r="K33" s="7">
        <v>43201</v>
      </c>
      <c r="L33" s="8" t="str">
        <f>"000014"</f>
        <v>000014</v>
      </c>
      <c r="M33" s="7">
        <v>43207</v>
      </c>
      <c r="N33" s="8">
        <v>18</v>
      </c>
      <c r="O33" s="8" t="str">
        <f>"005335"</f>
        <v>005335</v>
      </c>
      <c r="P33" s="7">
        <v>43729</v>
      </c>
      <c r="Q33" s="12">
        <v>50.176940000000002</v>
      </c>
      <c r="R33" s="12">
        <v>1.6809400000000001</v>
      </c>
      <c r="S33" s="12">
        <v>48.496000000000002</v>
      </c>
      <c r="T33" s="8">
        <v>199</v>
      </c>
      <c r="U33" s="7">
        <v>43732</v>
      </c>
      <c r="V33" s="8">
        <v>9964577113</v>
      </c>
      <c r="W33" s="11" t="s">
        <v>139</v>
      </c>
      <c r="X33" s="8" t="s">
        <v>140</v>
      </c>
      <c r="Y33" s="11" t="s">
        <v>141</v>
      </c>
      <c r="Z33" s="8" t="s">
        <v>56</v>
      </c>
      <c r="AA33" s="11" t="s">
        <v>57</v>
      </c>
      <c r="AB33" s="12">
        <f t="shared" si="1"/>
        <v>0.50176940000000003</v>
      </c>
    </row>
    <row r="34" spans="1:28" s="4" customFormat="1" ht="13" x14ac:dyDescent="0.3">
      <c r="A34" s="5">
        <v>618</v>
      </c>
      <c r="B34" s="6" t="s">
        <v>120</v>
      </c>
      <c r="C34" s="7">
        <v>43732</v>
      </c>
      <c r="D34" s="8">
        <v>14</v>
      </c>
      <c r="E34" s="9" t="s">
        <v>53</v>
      </c>
      <c r="F34" s="8" t="s">
        <v>142</v>
      </c>
      <c r="G34" s="11" t="s">
        <v>143</v>
      </c>
      <c r="H34" s="8" t="str">
        <f>"000206"</f>
        <v>000206</v>
      </c>
      <c r="I34" s="7">
        <v>43123</v>
      </c>
      <c r="J34" s="8" t="str">
        <f>"000008"</f>
        <v>000008</v>
      </c>
      <c r="K34" s="7">
        <v>43192</v>
      </c>
      <c r="L34" s="8" t="str">
        <f>"000015"</f>
        <v>000015</v>
      </c>
      <c r="M34" s="7">
        <v>43207</v>
      </c>
      <c r="N34" s="8">
        <v>18</v>
      </c>
      <c r="O34" s="8" t="str">
        <f>"005339"</f>
        <v>005339</v>
      </c>
      <c r="P34" s="7">
        <v>43729</v>
      </c>
      <c r="Q34" s="12">
        <v>50.07358</v>
      </c>
      <c r="R34" s="12">
        <v>1.6333299999999999</v>
      </c>
      <c r="S34" s="12">
        <v>48.440249999999999</v>
      </c>
      <c r="T34" s="8">
        <v>199</v>
      </c>
      <c r="U34" s="7">
        <v>43732</v>
      </c>
      <c r="V34" s="8">
        <v>9449219009</v>
      </c>
      <c r="W34" s="11" t="s">
        <v>144</v>
      </c>
      <c r="X34" s="8" t="s">
        <v>132</v>
      </c>
      <c r="Y34" s="11" t="s">
        <v>133</v>
      </c>
      <c r="Z34" s="8" t="s">
        <v>56</v>
      </c>
      <c r="AA34" s="11" t="s">
        <v>57</v>
      </c>
      <c r="AB34" s="12">
        <f t="shared" si="1"/>
        <v>0.50073579999999995</v>
      </c>
    </row>
    <row r="35" spans="1:28" s="4" customFormat="1" ht="13" x14ac:dyDescent="0.3">
      <c r="A35" s="5">
        <v>619</v>
      </c>
      <c r="B35" s="6" t="s">
        <v>120</v>
      </c>
      <c r="C35" s="7">
        <v>43732</v>
      </c>
      <c r="D35" s="8">
        <v>14</v>
      </c>
      <c r="E35" s="9" t="s">
        <v>53</v>
      </c>
      <c r="F35" s="8" t="s">
        <v>145</v>
      </c>
      <c r="G35" s="11" t="s">
        <v>146</v>
      </c>
      <c r="H35" s="8" t="str">
        <f>"000205"</f>
        <v>000205</v>
      </c>
      <c r="I35" s="7">
        <v>43123</v>
      </c>
      <c r="J35" s="8" t="str">
        <f>"000009"</f>
        <v>000009</v>
      </c>
      <c r="K35" s="7">
        <v>43192</v>
      </c>
      <c r="L35" s="8" t="str">
        <f>"000016"</f>
        <v>000016</v>
      </c>
      <c r="M35" s="7">
        <v>43207</v>
      </c>
      <c r="N35" s="8">
        <v>18</v>
      </c>
      <c r="O35" s="8" t="str">
        <f>"005340"</f>
        <v>005340</v>
      </c>
      <c r="P35" s="7">
        <v>43729</v>
      </c>
      <c r="Q35" s="12">
        <v>50.192819999999998</v>
      </c>
      <c r="R35" s="12">
        <v>1.67147</v>
      </c>
      <c r="S35" s="12">
        <v>48.521349999999998</v>
      </c>
      <c r="T35" s="8">
        <v>199</v>
      </c>
      <c r="U35" s="7">
        <v>43732</v>
      </c>
      <c r="V35" s="8">
        <v>9449219009</v>
      </c>
      <c r="W35" s="11" t="s">
        <v>147</v>
      </c>
      <c r="X35" s="8" t="s">
        <v>132</v>
      </c>
      <c r="Y35" s="11" t="s">
        <v>133</v>
      </c>
      <c r="Z35" s="8" t="s">
        <v>56</v>
      </c>
      <c r="AA35" s="11" t="s">
        <v>57</v>
      </c>
      <c r="AB35" s="12">
        <f t="shared" si="1"/>
        <v>0.50192819999999994</v>
      </c>
    </row>
    <row r="36" spans="1:28" s="4" customFormat="1" ht="13" x14ac:dyDescent="0.3">
      <c r="A36" s="5">
        <v>620</v>
      </c>
      <c r="B36" s="6" t="s">
        <v>148</v>
      </c>
      <c r="C36" s="7">
        <v>43752</v>
      </c>
      <c r="D36" s="5">
        <v>14</v>
      </c>
      <c r="E36" s="9" t="s">
        <v>53</v>
      </c>
      <c r="F36" s="8" t="s">
        <v>149</v>
      </c>
      <c r="G36" s="9" t="s">
        <v>150</v>
      </c>
      <c r="H36" s="8" t="str">
        <f>"000188"</f>
        <v>000188</v>
      </c>
      <c r="I36" s="7">
        <v>43111</v>
      </c>
      <c r="J36" s="8" t="str">
        <f>"000021"</f>
        <v>000021</v>
      </c>
      <c r="K36" s="7">
        <v>43220</v>
      </c>
      <c r="L36" s="8" t="str">
        <f>"000028"</f>
        <v>000028</v>
      </c>
      <c r="M36" s="7">
        <v>43220</v>
      </c>
      <c r="N36" s="8">
        <v>18</v>
      </c>
      <c r="O36" s="8" t="str">
        <f>"005503"</f>
        <v>005503</v>
      </c>
      <c r="P36" s="7">
        <v>43739</v>
      </c>
      <c r="Q36" s="10">
        <v>50.154089999999997</v>
      </c>
      <c r="R36" s="10">
        <v>1.56691</v>
      </c>
      <c r="S36" s="10">
        <v>48.587179999999996</v>
      </c>
      <c r="T36" s="8">
        <v>13</v>
      </c>
      <c r="U36" s="7">
        <v>43752</v>
      </c>
      <c r="V36" s="8">
        <v>9964577113</v>
      </c>
      <c r="W36" s="9" t="s">
        <v>139</v>
      </c>
      <c r="X36" s="8" t="s">
        <v>132</v>
      </c>
      <c r="Y36" s="9" t="s">
        <v>133</v>
      </c>
      <c r="Z36" s="8" t="s">
        <v>56</v>
      </c>
      <c r="AA36" s="9" t="s">
        <v>57</v>
      </c>
      <c r="AB36" s="10">
        <v>0.50154089999999996</v>
      </c>
    </row>
    <row r="37" spans="1:28" s="4" customFormat="1" ht="13" x14ac:dyDescent="0.3">
      <c r="A37" s="5">
        <v>621</v>
      </c>
      <c r="B37" s="6" t="s">
        <v>148</v>
      </c>
      <c r="C37" s="7">
        <v>43752</v>
      </c>
      <c r="D37" s="5">
        <v>14</v>
      </c>
      <c r="E37" s="9" t="s">
        <v>53</v>
      </c>
      <c r="F37" s="8" t="s">
        <v>151</v>
      </c>
      <c r="G37" s="9" t="s">
        <v>152</v>
      </c>
      <c r="H37" s="8" t="str">
        <f>"000O95"</f>
        <v>000O95</v>
      </c>
      <c r="I37" s="7">
        <v>42891</v>
      </c>
      <c r="J37" s="8" t="str">
        <f>"000017"</f>
        <v>000017</v>
      </c>
      <c r="K37" s="7">
        <v>43213</v>
      </c>
      <c r="L37" s="8" t="str">
        <f>"000031"</f>
        <v>000031</v>
      </c>
      <c r="M37" s="7">
        <v>43220</v>
      </c>
      <c r="N37" s="8">
        <v>17</v>
      </c>
      <c r="O37" s="8" t="str">
        <f>"005507"</f>
        <v>005507</v>
      </c>
      <c r="P37" s="7">
        <v>43739</v>
      </c>
      <c r="Q37" s="10">
        <v>22.19622</v>
      </c>
      <c r="R37" s="10">
        <v>0.79905999999999999</v>
      </c>
      <c r="S37" s="10">
        <v>21.39716</v>
      </c>
      <c r="T37" s="8">
        <v>13</v>
      </c>
      <c r="U37" s="7">
        <v>43752</v>
      </c>
      <c r="V37" s="8">
        <v>9449219009</v>
      </c>
      <c r="W37" s="9" t="s">
        <v>153</v>
      </c>
      <c r="X37" s="8" t="s">
        <v>36</v>
      </c>
      <c r="Y37" s="9" t="s">
        <v>37</v>
      </c>
      <c r="Z37" s="8" t="s">
        <v>56</v>
      </c>
      <c r="AA37" s="9" t="s">
        <v>57</v>
      </c>
      <c r="AB37" s="10">
        <v>0.2219622</v>
      </c>
    </row>
    <row r="38" spans="1:28" s="4" customFormat="1" ht="13" x14ac:dyDescent="0.3">
      <c r="A38" s="5">
        <v>622</v>
      </c>
      <c r="B38" s="6" t="s">
        <v>148</v>
      </c>
      <c r="C38" s="7">
        <v>43752</v>
      </c>
      <c r="D38" s="5">
        <v>14</v>
      </c>
      <c r="E38" s="9" t="s">
        <v>53</v>
      </c>
      <c r="F38" s="8" t="s">
        <v>154</v>
      </c>
      <c r="G38" s="9" t="s">
        <v>155</v>
      </c>
      <c r="H38" s="8" t="str">
        <f>"000001"</f>
        <v>000001</v>
      </c>
      <c r="I38" s="7">
        <v>43617</v>
      </c>
      <c r="J38" s="8" t="str">
        <f>"000013"</f>
        <v>000013</v>
      </c>
      <c r="K38" s="7">
        <v>43705</v>
      </c>
      <c r="L38" s="8" t="str">
        <f>"000013"</f>
        <v>000013</v>
      </c>
      <c r="M38" s="7">
        <v>43705</v>
      </c>
      <c r="N38" s="8">
        <v>19</v>
      </c>
      <c r="O38" s="8" t="str">
        <f>"005670"</f>
        <v>005670</v>
      </c>
      <c r="P38" s="7">
        <v>43748</v>
      </c>
      <c r="Q38" s="10">
        <v>100.56238999999999</v>
      </c>
      <c r="R38" s="10">
        <v>3.8462399999999999</v>
      </c>
      <c r="S38" s="10">
        <v>96.716149999999999</v>
      </c>
      <c r="T38" s="8">
        <v>13</v>
      </c>
      <c r="U38" s="7">
        <v>43752</v>
      </c>
      <c r="V38" s="8">
        <v>9611624166</v>
      </c>
      <c r="W38" s="9" t="s">
        <v>156</v>
      </c>
      <c r="X38" s="8" t="s">
        <v>157</v>
      </c>
      <c r="Y38" s="9" t="s">
        <v>158</v>
      </c>
      <c r="Z38" s="8" t="s">
        <v>159</v>
      </c>
      <c r="AA38" s="9" t="s">
        <v>160</v>
      </c>
      <c r="AB38" s="10">
        <v>1.0056239</v>
      </c>
    </row>
    <row r="39" spans="1:28" s="4" customFormat="1" ht="13" x14ac:dyDescent="0.3">
      <c r="A39" s="5">
        <v>623</v>
      </c>
      <c r="B39" s="6" t="s">
        <v>148</v>
      </c>
      <c r="C39" s="7">
        <v>43762</v>
      </c>
      <c r="D39" s="5">
        <v>14</v>
      </c>
      <c r="E39" s="9" t="s">
        <v>53</v>
      </c>
      <c r="F39" s="8" t="s">
        <v>161</v>
      </c>
      <c r="G39" s="9" t="s">
        <v>162</v>
      </c>
      <c r="H39" s="8" t="str">
        <f>"000150"</f>
        <v>000150</v>
      </c>
      <c r="I39" s="7">
        <v>42819</v>
      </c>
      <c r="J39" s="8" t="str">
        <f>"000030"</f>
        <v>000030</v>
      </c>
      <c r="K39" s="7">
        <v>43159</v>
      </c>
      <c r="L39" s="8" t="str">
        <f>"000023"</f>
        <v>000023</v>
      </c>
      <c r="M39" s="7">
        <v>43217</v>
      </c>
      <c r="N39" s="8">
        <v>17</v>
      </c>
      <c r="O39" s="8" t="str">
        <f>"005764"</f>
        <v>005764</v>
      </c>
      <c r="P39" s="7">
        <v>43753</v>
      </c>
      <c r="Q39" s="10">
        <v>7.7592499999999998</v>
      </c>
      <c r="R39" s="10">
        <v>0.25991999999999998</v>
      </c>
      <c r="S39" s="10">
        <v>7.4993299999999996</v>
      </c>
      <c r="T39" s="8">
        <v>13</v>
      </c>
      <c r="U39" s="7">
        <v>43762</v>
      </c>
      <c r="V39" s="8">
        <v>9743188999</v>
      </c>
      <c r="W39" s="9" t="s">
        <v>163</v>
      </c>
      <c r="X39" s="8" t="s">
        <v>36</v>
      </c>
      <c r="Y39" s="9" t="s">
        <v>37</v>
      </c>
      <c r="Z39" s="8" t="s">
        <v>56</v>
      </c>
      <c r="AA39" s="9" t="s">
        <v>57</v>
      </c>
      <c r="AB39" s="10">
        <v>7.7592499999999995E-2</v>
      </c>
    </row>
    <row r="40" spans="1:28" s="4" customFormat="1" ht="13" x14ac:dyDescent="0.3">
      <c r="A40" s="5">
        <v>624</v>
      </c>
      <c r="B40" s="6" t="s">
        <v>148</v>
      </c>
      <c r="C40" s="7">
        <v>43762</v>
      </c>
      <c r="D40" s="5">
        <v>14</v>
      </c>
      <c r="E40" s="9" t="s">
        <v>53</v>
      </c>
      <c r="F40" s="8" t="s">
        <v>73</v>
      </c>
      <c r="G40" s="9" t="s">
        <v>74</v>
      </c>
      <c r="H40" s="8" t="str">
        <f>"0011"</f>
        <v>0011</v>
      </c>
      <c r="I40" s="7" t="s">
        <v>75</v>
      </c>
      <c r="J40" s="8" t="str">
        <f>"000014"</f>
        <v>000014</v>
      </c>
      <c r="K40" s="7">
        <v>43105</v>
      </c>
      <c r="L40" s="8" t="str">
        <f>"000015"</f>
        <v>000015</v>
      </c>
      <c r="M40" s="7">
        <v>43105</v>
      </c>
      <c r="N40" s="8">
        <v>16</v>
      </c>
      <c r="O40" s="8" t="str">
        <f>"004449"</f>
        <v>004449</v>
      </c>
      <c r="P40" s="7">
        <v>43307</v>
      </c>
      <c r="Q40" s="10">
        <v>5.6544999999999996</v>
      </c>
      <c r="R40" s="10">
        <v>0.75936999999999999</v>
      </c>
      <c r="S40" s="10">
        <v>4.89513</v>
      </c>
      <c r="T40" s="8">
        <v>13</v>
      </c>
      <c r="U40" s="7">
        <v>43762</v>
      </c>
      <c r="V40" s="8">
        <v>9880467865</v>
      </c>
      <c r="W40" s="9" t="s">
        <v>76</v>
      </c>
      <c r="X40" s="8" t="s">
        <v>31</v>
      </c>
      <c r="Y40" s="9" t="s">
        <v>32</v>
      </c>
      <c r="Z40" s="8" t="s">
        <v>50</v>
      </c>
      <c r="AA40" s="9" t="s">
        <v>51</v>
      </c>
      <c r="AB40" s="10">
        <v>5.6544999999999998E-2</v>
      </c>
    </row>
    <row r="41" spans="1:28" s="4" customFormat="1" ht="13" x14ac:dyDescent="0.3">
      <c r="A41" s="5">
        <v>625</v>
      </c>
      <c r="B41" s="6" t="s">
        <v>164</v>
      </c>
      <c r="C41" s="7">
        <v>43781</v>
      </c>
      <c r="D41" s="5">
        <v>14</v>
      </c>
      <c r="E41" s="9" t="s">
        <v>53</v>
      </c>
      <c r="F41" s="8" t="s">
        <v>165</v>
      </c>
      <c r="G41" s="9" t="s">
        <v>166</v>
      </c>
      <c r="H41" s="8" t="str">
        <f>"00O096"</f>
        <v>00O096</v>
      </c>
      <c r="I41" s="7">
        <v>42891</v>
      </c>
      <c r="J41" s="8" t="str">
        <f>"000018"</f>
        <v>000018</v>
      </c>
      <c r="K41" s="7">
        <v>43213</v>
      </c>
      <c r="L41" s="8" t="str">
        <f>"000034"</f>
        <v>000034</v>
      </c>
      <c r="M41" s="7">
        <v>43224</v>
      </c>
      <c r="N41" s="8">
        <v>17</v>
      </c>
      <c r="O41" s="8" t="str">
        <f>"005923"</f>
        <v>005923</v>
      </c>
      <c r="P41" s="7">
        <v>43763</v>
      </c>
      <c r="Q41" s="10">
        <v>22.311769999999999</v>
      </c>
      <c r="R41" s="10">
        <v>0.80317000000000005</v>
      </c>
      <c r="S41" s="10">
        <v>21.508600000000001</v>
      </c>
      <c r="T41" s="8">
        <v>13</v>
      </c>
      <c r="U41" s="7">
        <v>43781</v>
      </c>
      <c r="V41" s="8">
        <v>9449200190</v>
      </c>
      <c r="W41" s="9" t="s">
        <v>167</v>
      </c>
      <c r="X41" s="8" t="s">
        <v>36</v>
      </c>
      <c r="Y41" s="9" t="s">
        <v>37</v>
      </c>
      <c r="Z41" s="8" t="s">
        <v>56</v>
      </c>
      <c r="AA41" s="9" t="s">
        <v>57</v>
      </c>
      <c r="AB41" s="10">
        <v>0.2231177</v>
      </c>
    </row>
    <row r="42" spans="1:28" s="4" customFormat="1" ht="13" x14ac:dyDescent="0.3">
      <c r="A42" s="5">
        <v>626</v>
      </c>
      <c r="B42" s="6" t="s">
        <v>168</v>
      </c>
      <c r="C42" s="7">
        <v>43808</v>
      </c>
      <c r="D42" s="5">
        <v>14</v>
      </c>
      <c r="E42" s="9" t="s">
        <v>53</v>
      </c>
      <c r="F42" s="8" t="s">
        <v>169</v>
      </c>
      <c r="G42" s="9" t="s">
        <v>170</v>
      </c>
      <c r="H42" s="8" t="str">
        <f>"000304"</f>
        <v>000304</v>
      </c>
      <c r="I42" s="7">
        <v>43498</v>
      </c>
      <c r="J42" s="8" t="str">
        <f>"000105"</f>
        <v>000105</v>
      </c>
      <c r="K42" s="7">
        <v>43551</v>
      </c>
      <c r="L42" s="8" t="str">
        <f>"000001"</f>
        <v>000001</v>
      </c>
      <c r="M42" s="7">
        <v>43563</v>
      </c>
      <c r="N42" s="8">
        <v>18</v>
      </c>
      <c r="O42" s="8" t="str">
        <f>"006685"</f>
        <v>006685</v>
      </c>
      <c r="P42" s="7">
        <v>43805</v>
      </c>
      <c r="Q42" s="10">
        <v>218.66731999999999</v>
      </c>
      <c r="R42" s="10">
        <v>11.00535</v>
      </c>
      <c r="S42" s="10">
        <v>207.66197</v>
      </c>
      <c r="T42" s="8">
        <v>13</v>
      </c>
      <c r="U42" s="7">
        <v>43808</v>
      </c>
      <c r="V42" s="8">
        <v>9886066040</v>
      </c>
      <c r="W42" s="9" t="s">
        <v>171</v>
      </c>
      <c r="X42" s="8" t="s">
        <v>132</v>
      </c>
      <c r="Y42" s="9" t="s">
        <v>133</v>
      </c>
      <c r="Z42" s="8" t="s">
        <v>56</v>
      </c>
      <c r="AA42" s="9" t="s">
        <v>57</v>
      </c>
      <c r="AB42" s="10">
        <v>2.1866732</v>
      </c>
    </row>
    <row r="43" spans="1:28" s="4" customFormat="1" ht="13" x14ac:dyDescent="0.3">
      <c r="A43" s="5">
        <v>627</v>
      </c>
      <c r="B43" s="6" t="s">
        <v>168</v>
      </c>
      <c r="C43" s="7">
        <v>43808</v>
      </c>
      <c r="D43" s="5">
        <v>14</v>
      </c>
      <c r="E43" s="9" t="s">
        <v>53</v>
      </c>
      <c r="F43" s="8" t="s">
        <v>172</v>
      </c>
      <c r="G43" s="9" t="s">
        <v>173</v>
      </c>
      <c r="H43" s="8" t="str">
        <f>"000303"</f>
        <v>000303</v>
      </c>
      <c r="I43" s="7">
        <v>43498</v>
      </c>
      <c r="J43" s="8" t="str">
        <f>"000104"</f>
        <v>000104</v>
      </c>
      <c r="K43" s="7">
        <v>43547</v>
      </c>
      <c r="L43" s="8" t="str">
        <f>"000004"</f>
        <v>000004</v>
      </c>
      <c r="M43" s="7">
        <v>43563</v>
      </c>
      <c r="N43" s="8">
        <v>18</v>
      </c>
      <c r="O43" s="8" t="str">
        <f>"006686"</f>
        <v>006686</v>
      </c>
      <c r="P43" s="7">
        <v>43805</v>
      </c>
      <c r="Q43" s="10">
        <v>275.33193</v>
      </c>
      <c r="R43" s="10">
        <v>13.83943</v>
      </c>
      <c r="S43" s="10">
        <v>261.49250000000001</v>
      </c>
      <c r="T43" s="8">
        <v>13</v>
      </c>
      <c r="U43" s="7">
        <v>43808</v>
      </c>
      <c r="V43" s="8">
        <v>9886066040</v>
      </c>
      <c r="W43" s="9" t="s">
        <v>171</v>
      </c>
      <c r="X43" s="8" t="s">
        <v>132</v>
      </c>
      <c r="Y43" s="9" t="s">
        <v>133</v>
      </c>
      <c r="Z43" s="8" t="s">
        <v>56</v>
      </c>
      <c r="AA43" s="9" t="s">
        <v>57</v>
      </c>
      <c r="AB43" s="10">
        <v>2.7533192999999998</v>
      </c>
    </row>
    <row r="44" spans="1:28" s="4" customFormat="1" ht="13" x14ac:dyDescent="0.3">
      <c r="A44" s="5">
        <v>628</v>
      </c>
      <c r="B44" s="6" t="s">
        <v>168</v>
      </c>
      <c r="C44" s="7">
        <v>43818</v>
      </c>
      <c r="D44" s="5">
        <v>14</v>
      </c>
      <c r="E44" s="9" t="s">
        <v>53</v>
      </c>
      <c r="F44" s="8" t="s">
        <v>174</v>
      </c>
      <c r="G44" s="9" t="s">
        <v>175</v>
      </c>
      <c r="H44" s="8" t="str">
        <f>"000204"</f>
        <v>000204</v>
      </c>
      <c r="I44" s="7">
        <v>43123</v>
      </c>
      <c r="J44" s="8" t="str">
        <f>"000030"</f>
        <v>000030</v>
      </c>
      <c r="K44" s="7">
        <v>43245</v>
      </c>
      <c r="L44" s="8" t="str">
        <f>"000062"</f>
        <v>000062</v>
      </c>
      <c r="M44" s="7">
        <v>43251</v>
      </c>
      <c r="N44" s="8">
        <v>18</v>
      </c>
      <c r="O44" s="8" t="str">
        <f>"006776"</f>
        <v>006776</v>
      </c>
      <c r="P44" s="7">
        <v>43811</v>
      </c>
      <c r="Q44" s="10">
        <v>50.256570000000004</v>
      </c>
      <c r="R44" s="10">
        <v>1.3367</v>
      </c>
      <c r="S44" s="10">
        <v>48.919870000000003</v>
      </c>
      <c r="T44" s="8">
        <v>13</v>
      </c>
      <c r="U44" s="7">
        <v>43818</v>
      </c>
      <c r="V44" s="8">
        <v>9449219009</v>
      </c>
      <c r="W44" s="9" t="s">
        <v>147</v>
      </c>
      <c r="X44" s="8" t="s">
        <v>132</v>
      </c>
      <c r="Y44" s="9" t="s">
        <v>133</v>
      </c>
      <c r="Z44" s="8" t="s">
        <v>56</v>
      </c>
      <c r="AA44" s="9" t="s">
        <v>57</v>
      </c>
      <c r="AB44" s="10">
        <v>0.5025657</v>
      </c>
    </row>
    <row r="45" spans="1:28" s="4" customFormat="1" ht="13" x14ac:dyDescent="0.3">
      <c r="A45" s="5">
        <v>629</v>
      </c>
      <c r="B45" s="6" t="s">
        <v>168</v>
      </c>
      <c r="C45" s="7">
        <v>43823</v>
      </c>
      <c r="D45" s="5">
        <v>14</v>
      </c>
      <c r="E45" s="9" t="s">
        <v>53</v>
      </c>
      <c r="F45" s="8" t="s">
        <v>176</v>
      </c>
      <c r="G45" s="9" t="s">
        <v>177</v>
      </c>
      <c r="H45" s="8" t="str">
        <f>"000209"</f>
        <v>000209</v>
      </c>
      <c r="I45" s="7">
        <v>43123</v>
      </c>
      <c r="J45" s="8" t="str">
        <f>"000032"</f>
        <v>000032</v>
      </c>
      <c r="K45" s="7">
        <v>43245</v>
      </c>
      <c r="L45" s="8" t="str">
        <f>"000063"</f>
        <v>000063</v>
      </c>
      <c r="M45" s="7">
        <v>43251</v>
      </c>
      <c r="N45" s="8">
        <v>18</v>
      </c>
      <c r="O45" s="8" t="str">
        <f>"006777"</f>
        <v>006777</v>
      </c>
      <c r="P45" s="7">
        <v>43811</v>
      </c>
      <c r="Q45" s="10">
        <v>50.204709999999999</v>
      </c>
      <c r="R45" s="10">
        <v>1.3006800000000001</v>
      </c>
      <c r="S45" s="10">
        <v>48.904029999999999</v>
      </c>
      <c r="T45" s="8">
        <v>13</v>
      </c>
      <c r="U45" s="7">
        <v>43823</v>
      </c>
      <c r="V45" s="8">
        <v>9449219009</v>
      </c>
      <c r="W45" s="9" t="s">
        <v>147</v>
      </c>
      <c r="X45" s="8" t="s">
        <v>140</v>
      </c>
      <c r="Y45" s="9" t="s">
        <v>141</v>
      </c>
      <c r="Z45" s="8" t="s">
        <v>56</v>
      </c>
      <c r="AA45" s="9" t="s">
        <v>57</v>
      </c>
      <c r="AB45" s="10">
        <v>0.50204709999999997</v>
      </c>
    </row>
    <row r="46" spans="1:28" s="4" customFormat="1" ht="13" x14ac:dyDescent="0.3">
      <c r="A46" s="5">
        <v>630</v>
      </c>
      <c r="B46" s="6" t="s">
        <v>168</v>
      </c>
      <c r="C46" s="7">
        <v>43823</v>
      </c>
      <c r="D46" s="5">
        <v>14</v>
      </c>
      <c r="E46" s="9" t="s">
        <v>53</v>
      </c>
      <c r="F46" s="8" t="s">
        <v>178</v>
      </c>
      <c r="G46" s="9" t="s">
        <v>179</v>
      </c>
      <c r="H46" s="8" t="str">
        <f>"000208"</f>
        <v>000208</v>
      </c>
      <c r="I46" s="7">
        <v>43123</v>
      </c>
      <c r="J46" s="8" t="str">
        <f>"000031"</f>
        <v>000031</v>
      </c>
      <c r="K46" s="7">
        <v>43245</v>
      </c>
      <c r="L46" s="8" t="str">
        <f>"000064"</f>
        <v>000064</v>
      </c>
      <c r="M46" s="7">
        <v>43251</v>
      </c>
      <c r="N46" s="8">
        <v>18</v>
      </c>
      <c r="O46" s="8" t="str">
        <f>"006779"</f>
        <v>006779</v>
      </c>
      <c r="P46" s="7">
        <v>43811</v>
      </c>
      <c r="Q46" s="10">
        <v>50.27373</v>
      </c>
      <c r="R46" s="10">
        <v>1.4574</v>
      </c>
      <c r="S46" s="10">
        <v>48.816330000000001</v>
      </c>
      <c r="T46" s="8">
        <v>13</v>
      </c>
      <c r="U46" s="7">
        <v>43823</v>
      </c>
      <c r="V46" s="8">
        <v>9449219009</v>
      </c>
      <c r="W46" s="9" t="s">
        <v>136</v>
      </c>
      <c r="X46" s="8" t="s">
        <v>132</v>
      </c>
      <c r="Y46" s="9" t="s">
        <v>133</v>
      </c>
      <c r="Z46" s="8" t="s">
        <v>56</v>
      </c>
      <c r="AA46" s="9" t="s">
        <v>57</v>
      </c>
      <c r="AB46" s="10">
        <v>0.50273730000000005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2020-01-28T11:33:44Z</dcterms:modified>
</cp:coreProperties>
</file>