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4" i="1" l="1"/>
  <c r="L64" i="1"/>
  <c r="J64" i="1"/>
  <c r="H64" i="1"/>
  <c r="O63" i="1"/>
  <c r="L63" i="1"/>
  <c r="J63" i="1"/>
  <c r="H63" i="1"/>
  <c r="O62" i="1"/>
  <c r="L62" i="1"/>
  <c r="J62" i="1"/>
  <c r="H62" i="1"/>
  <c r="O61" i="1"/>
  <c r="L61" i="1"/>
  <c r="J61" i="1"/>
  <c r="H61" i="1"/>
  <c r="O60" i="1"/>
  <c r="L60" i="1"/>
  <c r="J60" i="1"/>
  <c r="H60" i="1"/>
  <c r="O59" i="1"/>
  <c r="L59" i="1"/>
  <c r="J59" i="1"/>
  <c r="H59" i="1"/>
  <c r="O58" i="1"/>
  <c r="L58" i="1"/>
  <c r="J58" i="1"/>
  <c r="H58" i="1"/>
  <c r="O57" i="1"/>
  <c r="L57" i="1"/>
  <c r="J57" i="1"/>
  <c r="H57" i="1"/>
  <c r="O56" i="1"/>
  <c r="L56" i="1"/>
  <c r="J56" i="1"/>
  <c r="H56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<sst xmlns="http://schemas.openxmlformats.org/spreadsheetml/2006/main" count="595" uniqueCount="227">
  <si>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</si>
  <si>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</si>
  <si>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</si>
  <si>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</si>
  <si>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</si>
  <si>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</si>
  <si>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</si>
  <si>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</si>
  <si>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</si>
  <si>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</si>
  <si>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</si>
  <si>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</si>
  <si>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</si>
  <si>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</si>
  <si>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</si>
  <si>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</si>
  <si>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</si>
  <si>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</si>
  <si>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</si>
  <si>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</si>
  <si>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</si>
  <si>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</si>
  <si>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</si>
  <si>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</si>
  <si>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</si>
  <si>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</si>
  <si>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</si>
  <si>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</si>
  <si>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</si>
  <si>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</si>
  <si>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</si>
  <si>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</si>
  <si>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</si>
  <si>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</si>
  <si>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</si>
  <si>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P3110</t>
  </si>
  <si>
    <t>14th Finance Commission Grant Works</t>
  </si>
  <si>
    <t>ddo209</t>
  </si>
  <si>
    <t xml:space="preserve"> Assistant Executive Engineer Electrical West Zone</t>
  </si>
  <si>
    <t>P3409</t>
  </si>
  <si>
    <t>SFC Untied SC-SP/TSP Grant works</t>
  </si>
  <si>
    <t>P3111</t>
  </si>
  <si>
    <t>State Finance Commission Untied Grant Works</t>
  </si>
  <si>
    <t>P0190</t>
  </si>
  <si>
    <t>Works sanctioned by Hon Mayor</t>
  </si>
  <si>
    <t>P1878</t>
  </si>
  <si>
    <t>18per - Works (Bhagyajyothi, Sooru / Neeru Yojane and General) (54 Lakhs / New Wards)</t>
  </si>
  <si>
    <t>P0298</t>
  </si>
  <si>
    <t>M and R to Electrical Installations in Parks and Gardens, Playgrounds, Burial Grounds</t>
  </si>
  <si>
    <t>KRIDL</t>
  </si>
  <si>
    <t>P1802</t>
  </si>
  <si>
    <t>Water Supply New Areas</t>
  </si>
  <si>
    <t>P2201</t>
  </si>
  <si>
    <t>Assembly Constituency Development Works under BBMP</t>
  </si>
  <si>
    <t>ddo205</t>
  </si>
  <si>
    <t xml:space="preserve"> Assistant Executive Engineer Chamarajpet West Zone</t>
  </si>
  <si>
    <t>K.R.I.D.L</t>
  </si>
  <si>
    <t>Chamaraja Pete</t>
  </si>
  <si>
    <t>140-16-000010</t>
  </si>
  <si>
    <t xml:space="preserve">Supply of Water through Water Tankers </t>
  </si>
  <si>
    <t>K,GANESH.</t>
  </si>
  <si>
    <t>140-17-000040</t>
  </si>
  <si>
    <t>Maintenance and Repairs of Electrical Installation, DG Sets to BBMP Hospitals in Gandhinagar and Chamarajpete Constituency</t>
  </si>
  <si>
    <t>Ms Sri Chowdeshwari electricals (Shivaramu C)</t>
  </si>
  <si>
    <t>140-19-000004</t>
  </si>
  <si>
    <t>Providing CC to Roads and Conservancy between 3rd and 4th main road in Chamarajpet in ward no 140</t>
  </si>
  <si>
    <t>140-19-000002</t>
  </si>
  <si>
    <t>Improvements to footpath and drain at Southern side of M D Block and surrounding area in ward no 140</t>
  </si>
  <si>
    <t>140-19-000003</t>
  </si>
  <si>
    <t>Providing CC to Roads and Conservancy Around M D Block and surrounding area in ward no 140</t>
  </si>
  <si>
    <t>140-19-000005</t>
  </si>
  <si>
    <t>Renovation works to office buildings in ward jurisdiction in ward no 140</t>
  </si>
  <si>
    <t>140-19-000001</t>
  </si>
  <si>
    <t>Improvements to footpath and drain at Northern side of M D Block and surrounding area in ward no 140</t>
  </si>
  <si>
    <t>140-19-000006</t>
  </si>
  <si>
    <t>Improvements to Drain and roads in Chamarajpet and surrounding area in ward no 140</t>
  </si>
  <si>
    <t>140-17-000005</t>
  </si>
  <si>
    <t>Maintenance and repairs of toilets in ward no 140</t>
  </si>
  <si>
    <t>S Balaksrihna</t>
  </si>
  <si>
    <t>140-17-000031</t>
  </si>
  <si>
    <t>Providing CC road at Conservency Lane between 4th Main and 5th Main from 7th Cross to 9th Cross in Ward No. 140</t>
  </si>
  <si>
    <t>V Narayanaswamy</t>
  </si>
  <si>
    <t>140-17-000024</t>
  </si>
  <si>
    <t>Improvement to drains from 5th Main 6th Cross to Sameerpura Road in Ward No. 140</t>
  </si>
  <si>
    <t>140-17-000030</t>
  </si>
  <si>
    <t>Providing CC road at Conservency Lane between 1st Main and 2nd Main, Sirsi Road and 1st Main from 7th Cross to 9th Cross in Ward No. 140</t>
  </si>
  <si>
    <t>140-17-000029</t>
  </si>
  <si>
    <t xml:space="preserve">Providing CC roads at Conservency Lane between 1st Main and 2nd Main, 2nd Main and 3rd Main from 2nd Cross to 3rd Cross in Ward No. 140 </t>
  </si>
  <si>
    <t>140-17-000023</t>
  </si>
  <si>
    <t>Providing CC roads at Raghavendra Colony from 5th Main to Sameerpura Road in Ward No. 140</t>
  </si>
  <si>
    <t>140-17-000002</t>
  </si>
  <si>
    <t>Maintenance and repairs of drains and roads in Chamarajapete in ward no 140</t>
  </si>
  <si>
    <t>140-17-000038</t>
  </si>
  <si>
    <t xml:space="preserve">Providing drinking water works in Ward No 140 in Chamarajpette Division </t>
  </si>
  <si>
    <t>Dhanraj N</t>
  </si>
  <si>
    <t>140-18-000088</t>
  </si>
  <si>
    <t>Providing name boards for main road and cross roads at Valmikinagar in ward no-140</t>
  </si>
  <si>
    <t>140-18-000086</t>
  </si>
  <si>
    <t>Improvements to Ambedkar park at Valmikinagar in ward no-140</t>
  </si>
  <si>
    <t>140-18-000087</t>
  </si>
  <si>
    <t>Restoration of drain and road in Valmikinagar and surrounding area in ward no-140</t>
  </si>
  <si>
    <t>140-17-000032</t>
  </si>
  <si>
    <t>Improvement to drain from 9th Cross T.R. Mill road to Nanjamba Agrahara in Ward No. 140</t>
  </si>
  <si>
    <t>Narayanaswamy V</t>
  </si>
  <si>
    <t>140-17-000019</t>
  </si>
  <si>
    <t>Emergency fund for Ward Maintenance in Ward No. 140</t>
  </si>
  <si>
    <t>140-13-000019</t>
  </si>
  <si>
    <t>Providing asphalting  concrete  to chamarajpet Ist main road  from 8th cross to Mysore  road in ward No 140</t>
  </si>
  <si>
    <t>140-13-000016</t>
  </si>
  <si>
    <t>Providing  asphalting  concrete to 6th cross from Ist main to Mysore  road  and 9th cross Chamarajpet from T.R. Mill to Sirsi circle  in ward No 140</t>
  </si>
  <si>
    <t>140-13-000018</t>
  </si>
  <si>
    <t>Providing asphalting   concrete to 5th main road from T.R. Mill circle to 7th cross petrol bunk in ward  No 140</t>
  </si>
  <si>
    <t>140-13-000023</t>
  </si>
  <si>
    <t>Providing asphalting concrete to  8th cross and  6th cross road from 5th main to Ist main chamarajpet in ward no 140</t>
  </si>
  <si>
    <t>140-13-000021</t>
  </si>
  <si>
    <t>Providing asphalting  concrete to  sirsi road from 9th junction to 5th cross in ward nO 140</t>
  </si>
  <si>
    <t>140-13-000017</t>
  </si>
  <si>
    <t>Providing asphalting  concrete to Ist cross chamarajpet and balance length of Pampamahakavi road in ward No 140</t>
  </si>
  <si>
    <t>140-13-000020</t>
  </si>
  <si>
    <t>Providing  asphalting  concrete to 3rd cross road chamarajpet  and surrounding in ward NO 140</t>
  </si>
  <si>
    <t>140-13-000015</t>
  </si>
  <si>
    <t>Providing asphalting concrete to main road Kote Venkataraman swamy temple to Minto Eye Hospital and surroundings area in ward No 140</t>
  </si>
  <si>
    <t>140-14-000015</t>
  </si>
  <si>
    <t>Improvements to drains at Nanjamba Agrahara Main Road  in Ward No. 140</t>
  </si>
  <si>
    <t>Aishwarya Infrastructre and developers Prop.  R Chandru</t>
  </si>
  <si>
    <t>140-14-000013</t>
  </si>
  <si>
    <t>Providing asphalting to 7th cross road in ward 140</t>
  </si>
  <si>
    <t>Aishwarya Infrastructre and developers Prop.  R Chandr</t>
  </si>
  <si>
    <t>140-14-000016</t>
  </si>
  <si>
    <t>Providing asphalting at Kaniyara Colony and Anantharamaiah Compound in Ward No. 140</t>
  </si>
  <si>
    <t>Aishwarya Infrastructre and developers Prop R Chandru</t>
  </si>
  <si>
    <t>140-14-000012</t>
  </si>
  <si>
    <t xml:space="preserve">Providing asphalting at Devanatachar street and Kere Road in ward 140  </t>
  </si>
  <si>
    <t>140-16-000001</t>
  </si>
  <si>
    <t>Annual Operation And maintenance Of Street Lights at  Chamarajapet in Ward No- 140</t>
  </si>
  <si>
    <t>Sree Hari Electricals</t>
  </si>
  <si>
    <t>140-19-000029</t>
  </si>
  <si>
    <t>Providing CC Roads at 4th cross Devanathachar Street in ward no 140</t>
  </si>
  <si>
    <t>140-19-000024</t>
  </si>
  <si>
    <t>Improvements and other allied works to toilets in Venkataramnagar slum in ward no 140</t>
  </si>
  <si>
    <t>140-19-000031</t>
  </si>
  <si>
    <t>Providing CC Roads to conservancies  in ward Jurisdiction in ward no 140</t>
  </si>
  <si>
    <t>140-19-000030</t>
  </si>
  <si>
    <t>Providing CC Roads at 5th cross Devanathachar Street in ward no 140</t>
  </si>
  <si>
    <t>140-19-000025</t>
  </si>
  <si>
    <t>Providing CC works to cross roads of Krishnappa Garden slum  in ward no 140</t>
  </si>
  <si>
    <t>The Executive Engineer KRIDL</t>
  </si>
  <si>
    <t>Providing and fittings of Plud lights, cables and other necessary electrical works to Kabadi Ground at Makkala Koota Park in ward no 140</t>
  </si>
  <si>
    <t>140-17-000007</t>
  </si>
  <si>
    <t>September</t>
  </si>
  <si>
    <t xml:space="preserve"> Executive Engineer SWM 1 Central Zone</t>
  </si>
  <si>
    <t>ddo326</t>
  </si>
  <si>
    <t>M and R of Hospitals, Maternity Homes, Dispensary and Doctors Qtrs / Clinical Laboratories</t>
  </si>
  <si>
    <t>P0979</t>
  </si>
  <si>
    <t>Shivamadaiah</t>
  </si>
  <si>
    <t xml:space="preserve">Renovation work at existing hospital at Sirsiroad Maternity Home in ward No. 140-Chamarajpet </t>
  </si>
  <si>
    <t>140-18-000058</t>
  </si>
  <si>
    <t>B.V.Sridhar,</t>
  </si>
  <si>
    <t>Repairs and maintenance to Conservancy between 3rd and 4th main from 8th to 7th cross in Chamarajpere in ward no 140</t>
  </si>
  <si>
    <t>140-18-000039</t>
  </si>
  <si>
    <t>B.V.Sridhar</t>
  </si>
  <si>
    <t>Repairs and maintenance to Conservancy between 1st and 2nd main 5th to 4th cross in Chamarajpere in ward no 140</t>
  </si>
  <si>
    <t>140-18-000038</t>
  </si>
  <si>
    <t>August</t>
  </si>
  <si>
    <t>Zone Works Special Grants to Womens represented wards Rs.20.00 Lakhs per ward</t>
  </si>
  <si>
    <t>P3261</t>
  </si>
  <si>
    <t>B V Sridhar</t>
  </si>
  <si>
    <t>Repairs and mainatenance to conservancy between 2nd main and 3rd main in Chamrajpet ward no 140</t>
  </si>
  <si>
    <t>140-18-000060</t>
  </si>
  <si>
    <t>M.S.VENKATESH.</t>
  </si>
  <si>
    <t>Providing asphalting to Chamarajpet 2nd Cross from Rayan Circle to 3rd Main Chamarajpet in Ward No. 140</t>
  </si>
  <si>
    <t>140-17-000025</t>
  </si>
  <si>
    <t>July</t>
  </si>
  <si>
    <t xml:space="preserve">B V Sridhar </t>
  </si>
  <si>
    <t>Repairs and maintenance to CC roads in Conservancy roads in Ward No. 140</t>
  </si>
  <si>
    <t>140-18-000009</t>
  </si>
  <si>
    <t>Repairs and maintenance to CC roads in Raghavendra Colony 5th main to 3rd Cross in Ward No. 140</t>
  </si>
  <si>
    <t>140-18-000006</t>
  </si>
  <si>
    <t>Repairs and maintenance to CC roads in Raghavendra Colony 1st cross and 2nd cross in Ward No. 140</t>
  </si>
  <si>
    <t>140-18-000008</t>
  </si>
  <si>
    <t>Repairs and maintenance to CC roads in Raghavendra Colony 3rd Cross to 8th Cross in Ward No. 140</t>
  </si>
  <si>
    <t>140-18-000007</t>
  </si>
  <si>
    <t>Repairs and maintenance to CC road and drains ward jurisdiction in Ward No. 140</t>
  </si>
  <si>
    <t>140-18-000010</t>
  </si>
  <si>
    <t>MAHESH.K.M</t>
  </si>
  <si>
    <t>Improvement to drains from Krishnappa Layout to Kempambudi Lake Road in Ward No. 140</t>
  </si>
  <si>
    <t>140-17-000027</t>
  </si>
  <si>
    <t>MAHESH,</t>
  </si>
  <si>
    <t>Desilting of drain at 7th Cross Sirsi Road in Ward No. 140</t>
  </si>
  <si>
    <t>140-17-000033</t>
  </si>
  <si>
    <t>Providing asphalting to Chamarajpet 2nd Cross from 3rd Main to 5th Main Chamarajpet in Ward No. 140</t>
  </si>
  <si>
    <t>140-17-000026</t>
  </si>
  <si>
    <t>October</t>
  </si>
  <si>
    <t>140-18-000035</t>
  </si>
  <si>
    <t>Providing CC to Conservency lane 1st main from 8th cross to 9th cross in ward no 140</t>
  </si>
  <si>
    <t>K Rangaraju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</si>
  <si>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</si>
  <si>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</si>
  <si>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140-18-000032</t>
  </si>
  <si>
    <t>Providing CC to Conservency lane 5th main between 8th 9th cross in ward no 140</t>
  </si>
  <si>
    <t>V Ramesh Babu</t>
  </si>
  <si>
    <t>140-18-000018</t>
  </si>
  <si>
    <t>Improvements to drain and providing CC Road to Dasappa garden and surrounding area in ward no 140</t>
  </si>
  <si>
    <t>V Ramesh Babu (Arya and co)</t>
  </si>
  <si>
    <t>140-18-000034</t>
  </si>
  <si>
    <t>Providing CC to Conservency lane 3rd main from 8th cross to 9th cross in ward no 140</t>
  </si>
  <si>
    <t>Chethan Kumar H M</t>
  </si>
  <si>
    <t>140-18-000033</t>
  </si>
  <si>
    <t>Providing CC to Conservency lane 8th cross to 9th cross in ward no 140</t>
  </si>
  <si>
    <t>Yeshwanth gowda K</t>
  </si>
  <si>
    <t>140-18-000019</t>
  </si>
  <si>
    <t>Providing CC road in Nanjamba Agrahara (Backside of Hindu Burial ground) Opposite to Panduranga Temple in ward no 140</t>
  </si>
  <si>
    <t>H.N.MANJEGOWDA</t>
  </si>
  <si>
    <t>December</t>
  </si>
  <si>
    <t>140-18-000046</t>
  </si>
  <si>
    <t>Providing Solar System to BBMP School College, Chamarajpet in Ward No:140</t>
  </si>
  <si>
    <t>Karnataka Rural Infrastruture development ltd</t>
  </si>
  <si>
    <t>P3285</t>
  </si>
  <si>
    <t>M and R of School and College buildings</t>
  </si>
  <si>
    <t>140-18-000045</t>
  </si>
  <si>
    <t>Providing RO Water Plant to BBMP School College, Chamarajpet in Ward No:140</t>
  </si>
  <si>
    <t>140-18-000064</t>
  </si>
  <si>
    <t>Providing fire safety equipments to BBMP school at ward no 140 and(Other CC Works)</t>
  </si>
  <si>
    <t>P3264</t>
  </si>
  <si>
    <t>Providing Fire safety equipments in BBMP Schools and Colleges</t>
  </si>
  <si>
    <t>140-17-000052</t>
  </si>
  <si>
    <t>Providing CC camera at Garbage black spots in ward no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</si>
</sst>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tabSelected="1" workbookViewId="0">
      <selection activeCell="E7" sqref="E7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2.72656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4487</v>
      </c>
      <c r="B2" s="5" t="s">
        <v>28</v>
      </c>
      <c r="C2" s="6">
        <v>43566</v>
      </c>
      <c r="D2" s="7">
        <v>140</v>
      </c>
      <c r="E2" s="8" t="s">
        <v>57</v>
      </c>
      <c r="F2" s="7" t="s">
        <v>58</v>
      </c>
      <c r="G2" s="8" t="s">
        <v>59</v>
      </c>
      <c r="H2" s="7" t="str">
        <f>"000044"</f>
        <v>000044</v>
      </c>
      <c r="I2" s="6">
        <v>43076</v>
      </c>
      <c r="J2" s="7" t="str">
        <f>"000033"</f>
        <v>000033</v>
      </c>
      <c r="K2" s="6">
        <v>43076</v>
      </c>
      <c r="L2" s="7" t="str">
        <f>"000223"</f>
        <v>000223</v>
      </c>
      <c r="M2" s="6">
        <v>43158</v>
      </c>
      <c r="N2" s="7">
        <v>16</v>
      </c>
      <c r="O2" s="7" t="str">
        <f>"000173"</f>
        <v>000173</v>
      </c>
      <c r="P2" s="6">
        <v>43563</v>
      </c>
      <c r="Q2" s="9">
        <v>3.9283600000000001</v>
      </c>
      <c r="R2" s="9">
        <v>0.46492</v>
      </c>
      <c r="S2" s="9">
        <v>3.4634399999999999</v>
      </c>
      <c r="T2" s="7">
        <v>11</v>
      </c>
      <c r="U2" s="6">
        <v>43566</v>
      </c>
      <c r="V2" s="7">
        <v>9845621856</v>
      </c>
      <c r="W2" s="8" t="s">
        <v>60</v>
      </c>
      <c r="X2" s="7" t="s">
        <v>50</v>
      </c>
      <c r="Y2" s="8" t="s">
        <v>51</v>
      </c>
      <c r="Z2" s="7" t="s">
        <v>54</v>
      </c>
      <c r="AA2" s="8" t="s">
        <v>55</v>
      </c>
      <c r="AB2" s="9">
        <f t="shared" ref="AB2:AB22" si="0">Q2/100</f>
        <v>3.9283600000000002E-2</v>
      </c>
    </row>
    <row r="3" spans="1:28" x14ac:dyDescent="0.35">
      <c r="A3" s="4">
        <v>4488</v>
      </c>
      <c r="B3" s="5" t="s">
        <v>28</v>
      </c>
      <c r="C3" s="6">
        <v>43566</v>
      </c>
      <c r="D3" s="7">
        <v>140</v>
      </c>
      <c r="E3" s="8" t="s">
        <v>57</v>
      </c>
      <c r="F3" s="7" t="s">
        <v>61</v>
      </c>
      <c r="G3" s="8" t="s">
        <v>62</v>
      </c>
      <c r="H3" s="7" t="str">
        <f>"000105"</f>
        <v>000105</v>
      </c>
      <c r="I3" s="6">
        <v>43131</v>
      </c>
      <c r="J3" s="7" t="str">
        <f>"000021"</f>
        <v>000021</v>
      </c>
      <c r="K3" s="6">
        <v>43207</v>
      </c>
      <c r="L3" s="7" t="str">
        <f>"000021"</f>
        <v>000021</v>
      </c>
      <c r="M3" s="6">
        <v>43207</v>
      </c>
      <c r="N3" s="7">
        <v>17</v>
      </c>
      <c r="O3" s="7" t="str">
        <f>"000282"</f>
        <v>000282</v>
      </c>
      <c r="P3" s="6">
        <v>43564</v>
      </c>
      <c r="Q3" s="9">
        <v>1.3867100000000001</v>
      </c>
      <c r="R3" s="9">
        <v>7.0730000000000001E-2</v>
      </c>
      <c r="S3" s="9">
        <v>1.3159799999999999</v>
      </c>
      <c r="T3" s="7">
        <v>11</v>
      </c>
      <c r="U3" s="6">
        <v>43566</v>
      </c>
      <c r="V3" s="7">
        <v>7892413953</v>
      </c>
      <c r="W3" s="8" t="s">
        <v>63</v>
      </c>
      <c r="X3" s="7" t="s">
        <v>47</v>
      </c>
      <c r="Y3" s="8" t="s">
        <v>48</v>
      </c>
      <c r="Z3" s="7" t="s">
        <v>37</v>
      </c>
      <c r="AA3" s="8" t="s">
        <v>38</v>
      </c>
      <c r="AB3" s="9">
        <f t="shared" si="0"/>
        <v>1.38671E-2</v>
      </c>
    </row>
    <row r="4" spans="1:28" x14ac:dyDescent="0.35">
      <c r="A4" s="4">
        <v>4489</v>
      </c>
      <c r="B4" s="5" t="s">
        <v>28</v>
      </c>
      <c r="C4" s="6">
        <v>43566</v>
      </c>
      <c r="D4" s="7">
        <v>140</v>
      </c>
      <c r="E4" s="8" t="s">
        <v>57</v>
      </c>
      <c r="F4" s="7" t="s">
        <v>64</v>
      </c>
      <c r="G4" s="8" t="s">
        <v>65</v>
      </c>
      <c r="H4" s="7" t="str">
        <f>"000402"</f>
        <v>000402</v>
      </c>
      <c r="I4" s="6">
        <v>43468</v>
      </c>
      <c r="J4" s="7" t="str">
        <f>"000006"</f>
        <v>000006</v>
      </c>
      <c r="K4" s="6">
        <v>43559</v>
      </c>
      <c r="L4" s="7" t="str">
        <f>"000001"</f>
        <v>000001</v>
      </c>
      <c r="M4" s="6">
        <v>43559</v>
      </c>
      <c r="N4" s="7">
        <v>19</v>
      </c>
      <c r="O4" s="7" t="str">
        <f>"000369"</f>
        <v>000369</v>
      </c>
      <c r="P4" s="6">
        <v>43566</v>
      </c>
      <c r="Q4" s="9">
        <v>19.99858</v>
      </c>
      <c r="R4" s="9">
        <v>3.2018200000000001</v>
      </c>
      <c r="S4" s="9">
        <v>16.796759999999999</v>
      </c>
      <c r="T4" s="7">
        <v>13</v>
      </c>
      <c r="U4" s="6">
        <v>43566</v>
      </c>
      <c r="V4" s="7">
        <v>9845678994</v>
      </c>
      <c r="W4" s="8" t="s">
        <v>56</v>
      </c>
      <c r="X4" s="7" t="s">
        <v>41</v>
      </c>
      <c r="Y4" s="8" t="s">
        <v>42</v>
      </c>
      <c r="Z4" s="7" t="s">
        <v>54</v>
      </c>
      <c r="AA4" s="8" t="s">
        <v>55</v>
      </c>
      <c r="AB4" s="9">
        <f t="shared" si="0"/>
        <v>0.19998579999999999</v>
      </c>
    </row>
    <row r="5" spans="1:28" x14ac:dyDescent="0.35">
      <c r="A5" s="4">
        <v>4490</v>
      </c>
      <c r="B5" s="5" t="s">
        <v>28</v>
      </c>
      <c r="C5" s="6">
        <v>43566</v>
      </c>
      <c r="D5" s="7">
        <v>140</v>
      </c>
      <c r="E5" s="8" t="s">
        <v>57</v>
      </c>
      <c r="F5" s="7" t="s">
        <v>66</v>
      </c>
      <c r="G5" s="8" t="s">
        <v>67</v>
      </c>
      <c r="H5" s="7" t="str">
        <f>"000403"</f>
        <v>000403</v>
      </c>
      <c r="I5" s="6">
        <v>43468</v>
      </c>
      <c r="J5" s="7" t="str">
        <f>"000002"</f>
        <v>000002</v>
      </c>
      <c r="K5" s="6">
        <v>43559</v>
      </c>
      <c r="L5" s="7" t="str">
        <f>"000002"</f>
        <v>000002</v>
      </c>
      <c r="M5" s="6">
        <v>43559</v>
      </c>
      <c r="N5" s="7">
        <v>19</v>
      </c>
      <c r="O5" s="7" t="str">
        <f>"000375"</f>
        <v>000375</v>
      </c>
      <c r="P5" s="6">
        <v>43566</v>
      </c>
      <c r="Q5" s="9">
        <v>19.99531</v>
      </c>
      <c r="R5" s="9">
        <v>3.2013400000000001</v>
      </c>
      <c r="S5" s="9">
        <v>16.793970000000002</v>
      </c>
      <c r="T5" s="7">
        <v>13</v>
      </c>
      <c r="U5" s="6">
        <v>43566</v>
      </c>
      <c r="V5" s="7">
        <v>9845678994</v>
      </c>
      <c r="W5" s="8" t="s">
        <v>56</v>
      </c>
      <c r="X5" s="7" t="s">
        <v>41</v>
      </c>
      <c r="Y5" s="8" t="s">
        <v>42</v>
      </c>
      <c r="Z5" s="7" t="s">
        <v>54</v>
      </c>
      <c r="AA5" s="8" t="s">
        <v>55</v>
      </c>
      <c r="AB5" s="9">
        <f t="shared" si="0"/>
        <v>0.19995309999999999</v>
      </c>
    </row>
    <row r="6" spans="1:28" x14ac:dyDescent="0.35">
      <c r="A6" s="4">
        <v>4491</v>
      </c>
      <c r="B6" s="5" t="s">
        <v>28</v>
      </c>
      <c r="C6" s="6">
        <v>43566</v>
      </c>
      <c r="D6" s="7">
        <v>140</v>
      </c>
      <c r="E6" s="8" t="s">
        <v>57</v>
      </c>
      <c r="F6" s="7" t="s">
        <v>68</v>
      </c>
      <c r="G6" s="8" t="s">
        <v>69</v>
      </c>
      <c r="H6" s="7" t="str">
        <f>"000399"</f>
        <v>000399</v>
      </c>
      <c r="I6" s="6">
        <v>43468</v>
      </c>
      <c r="J6" s="7" t="str">
        <f>"000001"</f>
        <v>000001</v>
      </c>
      <c r="K6" s="6">
        <v>43559</v>
      </c>
      <c r="L6" s="7" t="str">
        <f>"000003"</f>
        <v>000003</v>
      </c>
      <c r="M6" s="6">
        <v>43559</v>
      </c>
      <c r="N6" s="7">
        <v>19</v>
      </c>
      <c r="O6" s="7" t="str">
        <f>"000376"</f>
        <v>000376</v>
      </c>
      <c r="P6" s="6">
        <v>43566</v>
      </c>
      <c r="Q6" s="9">
        <v>9.9978700000000007</v>
      </c>
      <c r="R6" s="9">
        <v>1.6007</v>
      </c>
      <c r="S6" s="9">
        <v>8.3971699999999991</v>
      </c>
      <c r="T6" s="7">
        <v>13</v>
      </c>
      <c r="U6" s="6">
        <v>43566</v>
      </c>
      <c r="V6" s="7">
        <v>9845678994</v>
      </c>
      <c r="W6" s="8" t="s">
        <v>56</v>
      </c>
      <c r="X6" s="7" t="s">
        <v>41</v>
      </c>
      <c r="Y6" s="8" t="s">
        <v>42</v>
      </c>
      <c r="Z6" s="7" t="s">
        <v>54</v>
      </c>
      <c r="AA6" s="8" t="s">
        <v>55</v>
      </c>
      <c r="AB6" s="9">
        <f t="shared" si="0"/>
        <v>9.9978700000000004E-2</v>
      </c>
    </row>
    <row r="7" spans="1:28" x14ac:dyDescent="0.35">
      <c r="A7" s="4">
        <v>4492</v>
      </c>
      <c r="B7" s="5" t="s">
        <v>28</v>
      </c>
      <c r="C7" s="6">
        <v>43566</v>
      </c>
      <c r="D7" s="7">
        <v>140</v>
      </c>
      <c r="E7" s="8" t="s">
        <v>57</v>
      </c>
      <c r="F7" s="7" t="s">
        <v>70</v>
      </c>
      <c r="G7" s="8" t="s">
        <v>71</v>
      </c>
      <c r="H7" s="7" t="str">
        <f>"000401"</f>
        <v>000401</v>
      </c>
      <c r="I7" s="6">
        <v>43468</v>
      </c>
      <c r="J7" s="7" t="str">
        <f>"000003"</f>
        <v>000003</v>
      </c>
      <c r="K7" s="6">
        <v>43559</v>
      </c>
      <c r="L7" s="7" t="str">
        <f>"000004"</f>
        <v>000004</v>
      </c>
      <c r="M7" s="6">
        <v>43559</v>
      </c>
      <c r="N7" s="7">
        <v>19</v>
      </c>
      <c r="O7" s="7" t="str">
        <f>"000379"</f>
        <v>000379</v>
      </c>
      <c r="P7" s="6">
        <v>43566</v>
      </c>
      <c r="Q7" s="9">
        <v>9.9973200000000002</v>
      </c>
      <c r="R7" s="9">
        <v>1.60056</v>
      </c>
      <c r="S7" s="9">
        <v>8.3967600000000004</v>
      </c>
      <c r="T7" s="7">
        <v>13</v>
      </c>
      <c r="U7" s="6">
        <v>43566</v>
      </c>
      <c r="V7" s="7">
        <v>9845678994</v>
      </c>
      <c r="W7" s="8" t="s">
        <v>56</v>
      </c>
      <c r="X7" s="7" t="s">
        <v>41</v>
      </c>
      <c r="Y7" s="8" t="s">
        <v>42</v>
      </c>
      <c r="Z7" s="7" t="s">
        <v>54</v>
      </c>
      <c r="AA7" s="8" t="s">
        <v>55</v>
      </c>
      <c r="AB7" s="9">
        <f t="shared" si="0"/>
        <v>9.9973199999999998E-2</v>
      </c>
    </row>
    <row r="8" spans="1:28" x14ac:dyDescent="0.35">
      <c r="A8" s="4">
        <v>4493</v>
      </c>
      <c r="B8" s="5" t="s">
        <v>28</v>
      </c>
      <c r="C8" s="6">
        <v>43566</v>
      </c>
      <c r="D8" s="7">
        <v>140</v>
      </c>
      <c r="E8" s="8" t="s">
        <v>57</v>
      </c>
      <c r="F8" s="7" t="s">
        <v>72</v>
      </c>
      <c r="G8" s="8" t="s">
        <v>73</v>
      </c>
      <c r="H8" s="7" t="str">
        <f>"000411"</f>
        <v>000411</v>
      </c>
      <c r="I8" s="6">
        <v>43468</v>
      </c>
      <c r="J8" s="7" t="str">
        <f>"000004"</f>
        <v>000004</v>
      </c>
      <c r="K8" s="6">
        <v>43559</v>
      </c>
      <c r="L8" s="7" t="str">
        <f>"000005"</f>
        <v>000005</v>
      </c>
      <c r="M8" s="6">
        <v>43559</v>
      </c>
      <c r="N8" s="7">
        <v>19</v>
      </c>
      <c r="O8" s="7" t="str">
        <f>"000381"</f>
        <v>000381</v>
      </c>
      <c r="P8" s="6">
        <v>43566</v>
      </c>
      <c r="Q8" s="9">
        <v>19.99399</v>
      </c>
      <c r="R8" s="9">
        <v>3.2012</v>
      </c>
      <c r="S8" s="9">
        <v>16.79279</v>
      </c>
      <c r="T8" s="7">
        <v>13</v>
      </c>
      <c r="U8" s="6">
        <v>43566</v>
      </c>
      <c r="V8" s="7">
        <v>9845678994</v>
      </c>
      <c r="W8" s="8" t="s">
        <v>56</v>
      </c>
      <c r="X8" s="7" t="s">
        <v>41</v>
      </c>
      <c r="Y8" s="8" t="s">
        <v>42</v>
      </c>
      <c r="Z8" s="7" t="s">
        <v>54</v>
      </c>
      <c r="AA8" s="8" t="s">
        <v>55</v>
      </c>
      <c r="AB8" s="9">
        <f t="shared" si="0"/>
        <v>0.1999399</v>
      </c>
    </row>
    <row r="9" spans="1:28" x14ac:dyDescent="0.35">
      <c r="A9" s="4">
        <v>4494</v>
      </c>
      <c r="B9" s="5" t="s">
        <v>28</v>
      </c>
      <c r="C9" s="6">
        <v>43566</v>
      </c>
      <c r="D9" s="7">
        <v>140</v>
      </c>
      <c r="E9" s="8" t="s">
        <v>57</v>
      </c>
      <c r="F9" s="7" t="s">
        <v>74</v>
      </c>
      <c r="G9" s="8" t="s">
        <v>75</v>
      </c>
      <c r="H9" s="7" t="str">
        <f>"000398"</f>
        <v>000398</v>
      </c>
      <c r="I9" s="6">
        <v>43468</v>
      </c>
      <c r="J9" s="7" t="str">
        <f>"000005"</f>
        <v>000005</v>
      </c>
      <c r="K9" s="6">
        <v>43559</v>
      </c>
      <c r="L9" s="7" t="str">
        <f>"000006"</f>
        <v>000006</v>
      </c>
      <c r="M9" s="6">
        <v>43559</v>
      </c>
      <c r="N9" s="7">
        <v>19</v>
      </c>
      <c r="O9" s="7" t="str">
        <f>"000382"</f>
        <v>000382</v>
      </c>
      <c r="P9" s="6">
        <v>43566</v>
      </c>
      <c r="Q9" s="9">
        <v>16.994910000000001</v>
      </c>
      <c r="R9" s="9">
        <v>2.7295600000000002</v>
      </c>
      <c r="S9" s="9">
        <v>14.26535</v>
      </c>
      <c r="T9" s="7">
        <v>13</v>
      </c>
      <c r="U9" s="6">
        <v>43566</v>
      </c>
      <c r="V9" s="7">
        <v>9845678994</v>
      </c>
      <c r="W9" s="8" t="s">
        <v>56</v>
      </c>
      <c r="X9" s="7" t="s">
        <v>41</v>
      </c>
      <c r="Y9" s="8" t="s">
        <v>42</v>
      </c>
      <c r="Z9" s="7" t="s">
        <v>54</v>
      </c>
      <c r="AA9" s="8" t="s">
        <v>55</v>
      </c>
      <c r="AB9" s="9">
        <f t="shared" si="0"/>
        <v>0.16994910000000002</v>
      </c>
    </row>
    <row r="10" spans="1:28" x14ac:dyDescent="0.35">
      <c r="A10" s="4">
        <v>4495</v>
      </c>
      <c r="B10" s="5" t="s">
        <v>28</v>
      </c>
      <c r="C10" s="6">
        <v>43580</v>
      </c>
      <c r="D10" s="7">
        <v>140</v>
      </c>
      <c r="E10" s="8" t="s">
        <v>57</v>
      </c>
      <c r="F10" s="7" t="s">
        <v>76</v>
      </c>
      <c r="G10" s="8" t="s">
        <v>77</v>
      </c>
      <c r="H10" s="7" t="str">
        <f>"000344"</f>
        <v>000344</v>
      </c>
      <c r="I10" s="6">
        <v>42875</v>
      </c>
      <c r="J10" s="7" t="str">
        <f>"000062"</f>
        <v>000062</v>
      </c>
      <c r="K10" s="6">
        <v>42916</v>
      </c>
      <c r="L10" s="7" t="str">
        <f>"000223"</f>
        <v>000223</v>
      </c>
      <c r="M10" s="6">
        <v>42916</v>
      </c>
      <c r="N10" s="7">
        <v>17</v>
      </c>
      <c r="O10" s="7" t="str">
        <f>"000715"</f>
        <v>000715</v>
      </c>
      <c r="P10" s="6">
        <v>43578</v>
      </c>
      <c r="Q10" s="9">
        <v>20.995609999999999</v>
      </c>
      <c r="R10" s="9">
        <v>2.8150900000000001</v>
      </c>
      <c r="S10" s="9">
        <v>18.180520000000001</v>
      </c>
      <c r="T10" s="7">
        <v>28</v>
      </c>
      <c r="U10" s="6">
        <v>43580</v>
      </c>
      <c r="V10" s="7">
        <v>9448535286</v>
      </c>
      <c r="W10" s="8" t="s">
        <v>78</v>
      </c>
      <c r="X10" s="7" t="s">
        <v>43</v>
      </c>
      <c r="Y10" s="8" t="s">
        <v>44</v>
      </c>
      <c r="Z10" s="7" t="s">
        <v>54</v>
      </c>
      <c r="AA10" s="8" t="s">
        <v>55</v>
      </c>
      <c r="AB10" s="9">
        <f t="shared" si="0"/>
        <v>0.20995609999999998</v>
      </c>
    </row>
    <row r="11" spans="1:28" x14ac:dyDescent="0.35">
      <c r="A11" s="4">
        <v>4496</v>
      </c>
      <c r="B11" s="5" t="s">
        <v>28</v>
      </c>
      <c r="C11" s="6">
        <v>43580</v>
      </c>
      <c r="D11" s="7">
        <v>140</v>
      </c>
      <c r="E11" s="8" t="s">
        <v>57</v>
      </c>
      <c r="F11" s="7" t="s">
        <v>79</v>
      </c>
      <c r="G11" s="8" t="s">
        <v>80</v>
      </c>
      <c r="H11" s="7" t="str">
        <f>"000348"</f>
        <v>000348</v>
      </c>
      <c r="I11" s="6">
        <v>42875</v>
      </c>
      <c r="J11" s="7" t="str">
        <f>"000056"</f>
        <v>000056</v>
      </c>
      <c r="K11" s="6">
        <v>42916</v>
      </c>
      <c r="L11" s="7" t="str">
        <f>"000224"</f>
        <v>000224</v>
      </c>
      <c r="M11" s="6">
        <v>42916</v>
      </c>
      <c r="N11" s="7">
        <v>17</v>
      </c>
      <c r="O11" s="7" t="str">
        <f>"000717"</f>
        <v>000717</v>
      </c>
      <c r="P11" s="6">
        <v>43578</v>
      </c>
      <c r="Q11" s="9">
        <v>14.50403</v>
      </c>
      <c r="R11" s="9">
        <v>1.8710100000000001</v>
      </c>
      <c r="S11" s="9">
        <v>12.63302</v>
      </c>
      <c r="T11" s="7">
        <v>28</v>
      </c>
      <c r="U11" s="6">
        <v>43580</v>
      </c>
      <c r="V11" s="7">
        <v>9448535286</v>
      </c>
      <c r="W11" s="8" t="s">
        <v>81</v>
      </c>
      <c r="X11" s="7" t="s">
        <v>30</v>
      </c>
      <c r="Y11" s="8" t="s">
        <v>31</v>
      </c>
      <c r="Z11" s="7" t="s">
        <v>54</v>
      </c>
      <c r="AA11" s="8" t="s">
        <v>55</v>
      </c>
      <c r="AB11" s="9">
        <f t="shared" si="0"/>
        <v>0.14504030000000001</v>
      </c>
    </row>
    <row r="12" spans="1:28" x14ac:dyDescent="0.35">
      <c r="A12" s="4">
        <v>4497</v>
      </c>
      <c r="B12" s="5" t="s">
        <v>28</v>
      </c>
      <c r="C12" s="6">
        <v>43580</v>
      </c>
      <c r="D12" s="7">
        <v>140</v>
      </c>
      <c r="E12" s="8" t="s">
        <v>57</v>
      </c>
      <c r="F12" s="7" t="s">
        <v>82</v>
      </c>
      <c r="G12" s="8" t="s">
        <v>83</v>
      </c>
      <c r="H12" s="7" t="str">
        <f>"000352"</f>
        <v>000352</v>
      </c>
      <c r="I12" s="6">
        <v>42875</v>
      </c>
      <c r="J12" s="7" t="str">
        <f>"000051"</f>
        <v>000051</v>
      </c>
      <c r="K12" s="6">
        <v>42916</v>
      </c>
      <c r="L12" s="7" t="str">
        <f>"000225"</f>
        <v>000225</v>
      </c>
      <c r="M12" s="6">
        <v>42916</v>
      </c>
      <c r="N12" s="7">
        <v>17</v>
      </c>
      <c r="O12" s="7" t="str">
        <f>"000718"</f>
        <v>000718</v>
      </c>
      <c r="P12" s="6">
        <v>43578</v>
      </c>
      <c r="Q12" s="9">
        <v>14.356170000000001</v>
      </c>
      <c r="R12" s="9">
        <v>1.73708</v>
      </c>
      <c r="S12" s="9">
        <v>12.61909</v>
      </c>
      <c r="T12" s="7">
        <v>28</v>
      </c>
      <c r="U12" s="6">
        <v>43580</v>
      </c>
      <c r="V12" s="7">
        <v>9448535286</v>
      </c>
      <c r="W12" s="8" t="s">
        <v>78</v>
      </c>
      <c r="X12" s="7" t="s">
        <v>30</v>
      </c>
      <c r="Y12" s="8" t="s">
        <v>31</v>
      </c>
      <c r="Z12" s="7" t="s">
        <v>54</v>
      </c>
      <c r="AA12" s="8" t="s">
        <v>55</v>
      </c>
      <c r="AB12" s="9">
        <f t="shared" si="0"/>
        <v>0.14356170000000001</v>
      </c>
    </row>
    <row r="13" spans="1:28" x14ac:dyDescent="0.35">
      <c r="A13" s="4">
        <v>4498</v>
      </c>
      <c r="B13" s="5" t="s">
        <v>28</v>
      </c>
      <c r="C13" s="6">
        <v>43580</v>
      </c>
      <c r="D13" s="7">
        <v>140</v>
      </c>
      <c r="E13" s="8" t="s">
        <v>57</v>
      </c>
      <c r="F13" s="7" t="s">
        <v>84</v>
      </c>
      <c r="G13" s="8" t="s">
        <v>85</v>
      </c>
      <c r="H13" s="7" t="str">
        <f>"000349"</f>
        <v>000349</v>
      </c>
      <c r="I13" s="6">
        <v>42875</v>
      </c>
      <c r="J13" s="7" t="str">
        <f>"000061"</f>
        <v>000061</v>
      </c>
      <c r="K13" s="6">
        <v>42916</v>
      </c>
      <c r="L13" s="7" t="str">
        <f>"000228"</f>
        <v>000228</v>
      </c>
      <c r="M13" s="6">
        <v>42916</v>
      </c>
      <c r="N13" s="7">
        <v>17</v>
      </c>
      <c r="O13" s="7" t="str">
        <f>"000719"</f>
        <v>000719</v>
      </c>
      <c r="P13" s="6">
        <v>43578</v>
      </c>
      <c r="Q13" s="9">
        <v>14.51641</v>
      </c>
      <c r="R13" s="9">
        <v>1.8028599999999999</v>
      </c>
      <c r="S13" s="9">
        <v>12.71355</v>
      </c>
      <c r="T13" s="7">
        <v>28</v>
      </c>
      <c r="U13" s="6">
        <v>43580</v>
      </c>
      <c r="V13" s="7">
        <v>9448535286</v>
      </c>
      <c r="W13" s="8" t="s">
        <v>81</v>
      </c>
      <c r="X13" s="7" t="s">
        <v>30</v>
      </c>
      <c r="Y13" s="8" t="s">
        <v>31</v>
      </c>
      <c r="Z13" s="7" t="s">
        <v>54</v>
      </c>
      <c r="AA13" s="8" t="s">
        <v>55</v>
      </c>
      <c r="AB13" s="9">
        <f t="shared" si="0"/>
        <v>0.14516410000000002</v>
      </c>
    </row>
    <row r="14" spans="1:28" x14ac:dyDescent="0.35">
      <c r="A14" s="4">
        <v>4499</v>
      </c>
      <c r="B14" s="5" t="s">
        <v>28</v>
      </c>
      <c r="C14" s="6">
        <v>43580</v>
      </c>
      <c r="D14" s="7">
        <v>140</v>
      </c>
      <c r="E14" s="8" t="s">
        <v>57</v>
      </c>
      <c r="F14" s="7" t="s">
        <v>86</v>
      </c>
      <c r="G14" s="8" t="s">
        <v>87</v>
      </c>
      <c r="H14" s="7" t="str">
        <f>"000345"</f>
        <v>000345</v>
      </c>
      <c r="I14" s="6">
        <v>42875</v>
      </c>
      <c r="J14" s="7" t="str">
        <f>"000060"</f>
        <v>000060</v>
      </c>
      <c r="K14" s="6">
        <v>42916</v>
      </c>
      <c r="L14" s="7" t="str">
        <f>"000229"</f>
        <v>000229</v>
      </c>
      <c r="M14" s="6">
        <v>42916</v>
      </c>
      <c r="N14" s="7">
        <v>17</v>
      </c>
      <c r="O14" s="7" t="str">
        <f>"000720"</f>
        <v>000720</v>
      </c>
      <c r="P14" s="6">
        <v>43578</v>
      </c>
      <c r="Q14" s="9">
        <v>14.122059999999999</v>
      </c>
      <c r="R14" s="9">
        <v>1.8211299999999999</v>
      </c>
      <c r="S14" s="9">
        <v>12.300929999999999</v>
      </c>
      <c r="T14" s="7">
        <v>28</v>
      </c>
      <c r="U14" s="6">
        <v>43580</v>
      </c>
      <c r="V14" s="7">
        <v>9448535286</v>
      </c>
      <c r="W14" s="8" t="s">
        <v>78</v>
      </c>
      <c r="X14" s="7" t="s">
        <v>30</v>
      </c>
      <c r="Y14" s="8" t="s">
        <v>31</v>
      </c>
      <c r="Z14" s="7" t="s">
        <v>54</v>
      </c>
      <c r="AA14" s="8" t="s">
        <v>55</v>
      </c>
      <c r="AB14" s="9">
        <f t="shared" si="0"/>
        <v>0.1412206</v>
      </c>
    </row>
    <row r="15" spans="1:28" x14ac:dyDescent="0.35">
      <c r="A15" s="4">
        <v>4500</v>
      </c>
      <c r="B15" s="5" t="s">
        <v>28</v>
      </c>
      <c r="C15" s="6">
        <v>43580</v>
      </c>
      <c r="D15" s="7">
        <v>140</v>
      </c>
      <c r="E15" s="8" t="s">
        <v>57</v>
      </c>
      <c r="F15" s="7" t="s">
        <v>88</v>
      </c>
      <c r="G15" s="8" t="s">
        <v>89</v>
      </c>
      <c r="H15" s="7" t="str">
        <f>"000354"</f>
        <v>000354</v>
      </c>
      <c r="I15" s="6">
        <v>42875</v>
      </c>
      <c r="J15" s="7" t="str">
        <f>"000457"</f>
        <v>000457</v>
      </c>
      <c r="K15" s="6">
        <v>42916</v>
      </c>
      <c r="L15" s="7" t="str">
        <f>"000231"</f>
        <v>000231</v>
      </c>
      <c r="M15" s="6">
        <v>42916</v>
      </c>
      <c r="N15" s="7">
        <v>17</v>
      </c>
      <c r="O15" s="7" t="str">
        <f>"000721"</f>
        <v>000721</v>
      </c>
      <c r="P15" s="6">
        <v>43578</v>
      </c>
      <c r="Q15" s="9">
        <v>14.520759999999999</v>
      </c>
      <c r="R15" s="9">
        <v>1.8733299999999999</v>
      </c>
      <c r="S15" s="9">
        <v>12.64743</v>
      </c>
      <c r="T15" s="7">
        <v>28</v>
      </c>
      <c r="U15" s="6">
        <v>43580</v>
      </c>
      <c r="V15" s="7">
        <v>9448535286</v>
      </c>
      <c r="W15" s="8" t="s">
        <v>78</v>
      </c>
      <c r="X15" s="7" t="s">
        <v>30</v>
      </c>
      <c r="Y15" s="8" t="s">
        <v>31</v>
      </c>
      <c r="Z15" s="7" t="s">
        <v>54</v>
      </c>
      <c r="AA15" s="8" t="s">
        <v>55</v>
      </c>
      <c r="AB15" s="9">
        <f t="shared" si="0"/>
        <v>0.14520759999999999</v>
      </c>
    </row>
    <row r="16" spans="1:28" x14ac:dyDescent="0.35">
      <c r="A16" s="4">
        <v>4501</v>
      </c>
      <c r="B16" s="5" t="s">
        <v>28</v>
      </c>
      <c r="C16" s="6">
        <v>43580</v>
      </c>
      <c r="D16" s="7">
        <v>140</v>
      </c>
      <c r="E16" s="8" t="s">
        <v>57</v>
      </c>
      <c r="F16" s="7" t="s">
        <v>90</v>
      </c>
      <c r="G16" s="8" t="s">
        <v>91</v>
      </c>
      <c r="H16" s="7" t="str">
        <f>"000343"</f>
        <v>000343</v>
      </c>
      <c r="I16" s="6">
        <v>42825</v>
      </c>
      <c r="J16" s="7" t="str">
        <f>"000053"</f>
        <v>000053</v>
      </c>
      <c r="K16" s="6">
        <v>42916</v>
      </c>
      <c r="L16" s="7" t="str">
        <f>"000233"</f>
        <v>000233</v>
      </c>
      <c r="M16" s="6">
        <v>42916</v>
      </c>
      <c r="N16" s="7">
        <v>17</v>
      </c>
      <c r="O16" s="7" t="str">
        <f>"000722"</f>
        <v>000722</v>
      </c>
      <c r="P16" s="6">
        <v>43578</v>
      </c>
      <c r="Q16" s="9">
        <v>28.80639</v>
      </c>
      <c r="R16" s="9">
        <v>3.8680699999999999</v>
      </c>
      <c r="S16" s="9">
        <v>24.938320000000001</v>
      </c>
      <c r="T16" s="7">
        <v>28</v>
      </c>
      <c r="U16" s="6">
        <v>43580</v>
      </c>
      <c r="V16" s="7">
        <v>9448535286</v>
      </c>
      <c r="W16" s="8" t="s">
        <v>81</v>
      </c>
      <c r="X16" s="7" t="s">
        <v>43</v>
      </c>
      <c r="Y16" s="8" t="s">
        <v>44</v>
      </c>
      <c r="Z16" s="7" t="s">
        <v>54</v>
      </c>
      <c r="AA16" s="8" t="s">
        <v>55</v>
      </c>
      <c r="AB16" s="9">
        <f t="shared" si="0"/>
        <v>0.28806389999999998</v>
      </c>
    </row>
    <row r="17" spans="1:28" x14ac:dyDescent="0.35">
      <c r="A17" s="4">
        <v>4502</v>
      </c>
      <c r="B17" s="5" t="s">
        <v>32</v>
      </c>
      <c r="C17" s="6">
        <v>43591</v>
      </c>
      <c r="D17" s="7">
        <v>140</v>
      </c>
      <c r="E17" s="8" t="s">
        <v>57</v>
      </c>
      <c r="F17" s="7" t="s">
        <v>92</v>
      </c>
      <c r="G17" s="8" t="s">
        <v>93</v>
      </c>
      <c r="H17" s="7" t="str">
        <f>"000438"</f>
        <v>000438</v>
      </c>
      <c r="I17" s="6">
        <v>43488</v>
      </c>
      <c r="J17" s="7" t="str">
        <f>"000200"</f>
        <v>000200</v>
      </c>
      <c r="K17" s="6">
        <v>43488</v>
      </c>
      <c r="L17" s="7" t="str">
        <f>"000350"</f>
        <v>000350</v>
      </c>
      <c r="M17" s="6">
        <v>43489</v>
      </c>
      <c r="N17" s="7">
        <v>17</v>
      </c>
      <c r="O17" s="7" t="str">
        <f>"001236"</f>
        <v>001236</v>
      </c>
      <c r="P17" s="6">
        <v>43585</v>
      </c>
      <c r="Q17" s="9">
        <v>12.57413</v>
      </c>
      <c r="R17" s="9">
        <v>1.35798</v>
      </c>
      <c r="S17" s="9">
        <v>11.216150000000001</v>
      </c>
      <c r="T17" s="7">
        <v>35</v>
      </c>
      <c r="U17" s="6">
        <v>43591</v>
      </c>
      <c r="V17" s="7">
        <v>9481133333</v>
      </c>
      <c r="W17" s="8" t="s">
        <v>94</v>
      </c>
      <c r="X17" s="7" t="s">
        <v>35</v>
      </c>
      <c r="Y17" s="8" t="s">
        <v>36</v>
      </c>
      <c r="Z17" s="7" t="s">
        <v>54</v>
      </c>
      <c r="AA17" s="8" t="s">
        <v>55</v>
      </c>
      <c r="AB17" s="9">
        <f t="shared" si="0"/>
        <v>0.1257413</v>
      </c>
    </row>
    <row r="18" spans="1:28" x14ac:dyDescent="0.35">
      <c r="A18" s="4">
        <v>4503</v>
      </c>
      <c r="B18" s="5" t="s">
        <v>32</v>
      </c>
      <c r="C18" s="6">
        <v>43601</v>
      </c>
      <c r="D18" s="7">
        <v>140</v>
      </c>
      <c r="E18" s="8" t="s">
        <v>57</v>
      </c>
      <c r="F18" s="7" t="s">
        <v>95</v>
      </c>
      <c r="G18" s="8" t="s">
        <v>96</v>
      </c>
      <c r="H18" s="7" t="str">
        <f>"000382"</f>
        <v>000382</v>
      </c>
      <c r="I18" s="6">
        <v>43450</v>
      </c>
      <c r="J18" s="7" t="str">
        <f>"000121"</f>
        <v>000121</v>
      </c>
      <c r="K18" s="6">
        <v>43450</v>
      </c>
      <c r="L18" s="7" t="str">
        <f>"000260"</f>
        <v>000260</v>
      </c>
      <c r="M18" s="6">
        <v>43451</v>
      </c>
      <c r="N18" s="7">
        <v>18</v>
      </c>
      <c r="O18" s="7" t="str">
        <f>"001433"</f>
        <v>001433</v>
      </c>
      <c r="P18" s="6">
        <v>43598</v>
      </c>
      <c r="Q18" s="9">
        <v>9.9964700000000004</v>
      </c>
      <c r="R18" s="9">
        <v>1.2386600000000001</v>
      </c>
      <c r="S18" s="9">
        <v>8.7578099999999992</v>
      </c>
      <c r="T18" s="7">
        <v>48</v>
      </c>
      <c r="U18" s="6">
        <v>43601</v>
      </c>
      <c r="V18" s="7">
        <v>9980946075</v>
      </c>
      <c r="W18" s="8" t="s">
        <v>49</v>
      </c>
      <c r="X18" s="7" t="s">
        <v>45</v>
      </c>
      <c r="Y18" s="8" t="s">
        <v>46</v>
      </c>
      <c r="Z18" s="7" t="s">
        <v>54</v>
      </c>
      <c r="AA18" s="8" t="s">
        <v>55</v>
      </c>
      <c r="AB18" s="9">
        <f t="shared" si="0"/>
        <v>9.9964700000000004E-2</v>
      </c>
    </row>
    <row r="19" spans="1:28" x14ac:dyDescent="0.35">
      <c r="A19" s="4">
        <v>4504</v>
      </c>
      <c r="B19" s="5" t="s">
        <v>32</v>
      </c>
      <c r="C19" s="6">
        <v>43601</v>
      </c>
      <c r="D19" s="7">
        <v>140</v>
      </c>
      <c r="E19" s="8" t="s">
        <v>57</v>
      </c>
      <c r="F19" s="7" t="s">
        <v>97</v>
      </c>
      <c r="G19" s="8" t="s">
        <v>98</v>
      </c>
      <c r="H19" s="7" t="str">
        <f>"000383"</f>
        <v>000383</v>
      </c>
      <c r="I19" s="6">
        <v>43450</v>
      </c>
      <c r="J19" s="7" t="str">
        <f>"000122"</f>
        <v>000122</v>
      </c>
      <c r="K19" s="6">
        <v>43450</v>
      </c>
      <c r="L19" s="7" t="str">
        <f>"000261"</f>
        <v>000261</v>
      </c>
      <c r="M19" s="6">
        <v>43451</v>
      </c>
      <c r="N19" s="7">
        <v>18</v>
      </c>
      <c r="O19" s="7" t="str">
        <f>"001434"</f>
        <v>001434</v>
      </c>
      <c r="P19" s="6">
        <v>43598</v>
      </c>
      <c r="Q19" s="9">
        <v>19.996659999999999</v>
      </c>
      <c r="R19" s="9">
        <v>2.3625799999999999</v>
      </c>
      <c r="S19" s="9">
        <v>17.634080000000001</v>
      </c>
      <c r="T19" s="7">
        <v>48</v>
      </c>
      <c r="U19" s="6">
        <v>43601</v>
      </c>
      <c r="V19" s="7">
        <v>9980946075</v>
      </c>
      <c r="W19" s="8" t="s">
        <v>49</v>
      </c>
      <c r="X19" s="7" t="s">
        <v>45</v>
      </c>
      <c r="Y19" s="8" t="s">
        <v>46</v>
      </c>
      <c r="Z19" s="7" t="s">
        <v>54</v>
      </c>
      <c r="AA19" s="8" t="s">
        <v>55</v>
      </c>
      <c r="AB19" s="9">
        <f t="shared" si="0"/>
        <v>0.19996659999999999</v>
      </c>
    </row>
    <row r="20" spans="1:28" x14ac:dyDescent="0.35">
      <c r="A20" s="4">
        <v>4505</v>
      </c>
      <c r="B20" s="5" t="s">
        <v>32</v>
      </c>
      <c r="C20" s="6">
        <v>43601</v>
      </c>
      <c r="D20" s="7">
        <v>140</v>
      </c>
      <c r="E20" s="8" t="s">
        <v>57</v>
      </c>
      <c r="F20" s="7" t="s">
        <v>99</v>
      </c>
      <c r="G20" s="8" t="s">
        <v>100</v>
      </c>
      <c r="H20" s="7" t="str">
        <f>"000376"</f>
        <v>000376</v>
      </c>
      <c r="I20" s="6">
        <v>43448</v>
      </c>
      <c r="J20" s="7" t="str">
        <f>"000119"</f>
        <v>000119</v>
      </c>
      <c r="K20" s="6">
        <v>43449</v>
      </c>
      <c r="L20" s="7" t="str">
        <f>"000255"</f>
        <v>000255</v>
      </c>
      <c r="M20" s="6">
        <v>43449</v>
      </c>
      <c r="N20" s="7">
        <v>18</v>
      </c>
      <c r="O20" s="7" t="str">
        <f>"001449"</f>
        <v>001449</v>
      </c>
      <c r="P20" s="6">
        <v>43598</v>
      </c>
      <c r="Q20" s="9">
        <v>19.996790000000001</v>
      </c>
      <c r="R20" s="9">
        <v>2.39669</v>
      </c>
      <c r="S20" s="9">
        <v>17.600100000000001</v>
      </c>
      <c r="T20" s="7">
        <v>48</v>
      </c>
      <c r="U20" s="6">
        <v>43601</v>
      </c>
      <c r="V20" s="7">
        <v>9980946075</v>
      </c>
      <c r="W20" s="8" t="s">
        <v>49</v>
      </c>
      <c r="X20" s="7" t="s">
        <v>45</v>
      </c>
      <c r="Y20" s="8" t="s">
        <v>46</v>
      </c>
      <c r="Z20" s="7" t="s">
        <v>54</v>
      </c>
      <c r="AA20" s="8" t="s">
        <v>55</v>
      </c>
      <c r="AB20" s="9">
        <f t="shared" si="0"/>
        <v>0.1999679</v>
      </c>
    </row>
    <row r="21" spans="1:28" x14ac:dyDescent="0.35">
      <c r="A21" s="4">
        <v>4506</v>
      </c>
      <c r="B21" s="5" t="s">
        <v>32</v>
      </c>
      <c r="C21" s="6">
        <v>43609</v>
      </c>
      <c r="D21" s="7">
        <v>140</v>
      </c>
      <c r="E21" s="8" t="s">
        <v>57</v>
      </c>
      <c r="F21" s="7" t="s">
        <v>101</v>
      </c>
      <c r="G21" s="8" t="s">
        <v>102</v>
      </c>
      <c r="H21" s="7" t="str">
        <f>"000009"</f>
        <v>000009</v>
      </c>
      <c r="I21" s="6">
        <v>43036</v>
      </c>
      <c r="J21" s="7" t="str">
        <f>"000010"</f>
        <v>000010</v>
      </c>
      <c r="K21" s="6">
        <v>43036</v>
      </c>
      <c r="L21" s="7" t="str">
        <f>"000010"</f>
        <v>000010</v>
      </c>
      <c r="M21" s="6">
        <v>43038</v>
      </c>
      <c r="N21" s="7">
        <v>17</v>
      </c>
      <c r="O21" s="7" t="str">
        <f>"001926"</f>
        <v>001926</v>
      </c>
      <c r="P21" s="6">
        <v>43607</v>
      </c>
      <c r="Q21" s="9">
        <v>14.82821</v>
      </c>
      <c r="R21" s="9">
        <v>1.90655</v>
      </c>
      <c r="S21" s="9">
        <v>12.921659999999999</v>
      </c>
      <c r="T21" s="7">
        <v>57</v>
      </c>
      <c r="U21" s="6">
        <v>43609</v>
      </c>
      <c r="V21" s="7">
        <v>9448535286</v>
      </c>
      <c r="W21" s="8" t="s">
        <v>103</v>
      </c>
      <c r="X21" s="7" t="s">
        <v>30</v>
      </c>
      <c r="Y21" s="8" t="s">
        <v>31</v>
      </c>
      <c r="Z21" s="7" t="s">
        <v>54</v>
      </c>
      <c r="AA21" s="8" t="s">
        <v>55</v>
      </c>
      <c r="AB21" s="9">
        <f t="shared" si="0"/>
        <v>0.1482821</v>
      </c>
    </row>
    <row r="22" spans="1:28" x14ac:dyDescent="0.35">
      <c r="A22" s="4">
        <v>4507</v>
      </c>
      <c r="B22" s="5" t="s">
        <v>32</v>
      </c>
      <c r="C22" s="6">
        <v>43609</v>
      </c>
      <c r="D22" s="7">
        <v>140</v>
      </c>
      <c r="E22" s="8" t="s">
        <v>57</v>
      </c>
      <c r="F22" s="7" t="s">
        <v>104</v>
      </c>
      <c r="G22" s="8" t="s">
        <v>105</v>
      </c>
      <c r="H22" s="7" t="str">
        <f>"000008"</f>
        <v>000008</v>
      </c>
      <c r="I22" s="6">
        <v>43035</v>
      </c>
      <c r="J22" s="7" t="str">
        <f>"000011"</f>
        <v>000011</v>
      </c>
      <c r="K22" s="6">
        <v>43036</v>
      </c>
      <c r="L22" s="7" t="str">
        <f>"000011"</f>
        <v>000011</v>
      </c>
      <c r="M22" s="6">
        <v>43038</v>
      </c>
      <c r="N22" s="7">
        <v>17</v>
      </c>
      <c r="O22" s="7" t="str">
        <f>"001927"</f>
        <v>001927</v>
      </c>
      <c r="P22" s="6">
        <v>43607</v>
      </c>
      <c r="Q22" s="9">
        <v>20.993379999999998</v>
      </c>
      <c r="R22" s="9">
        <v>2.8130799999999998</v>
      </c>
      <c r="S22" s="9">
        <v>18.180299999999999</v>
      </c>
      <c r="T22" s="7">
        <v>57</v>
      </c>
      <c r="U22" s="6">
        <v>43609</v>
      </c>
      <c r="V22" s="7">
        <v>9448535286</v>
      </c>
      <c r="W22" s="8" t="s">
        <v>103</v>
      </c>
      <c r="X22" s="7" t="s">
        <v>30</v>
      </c>
      <c r="Y22" s="8" t="s">
        <v>31</v>
      </c>
      <c r="Z22" s="7" t="s">
        <v>54</v>
      </c>
      <c r="AA22" s="8" t="s">
        <v>55</v>
      </c>
      <c r="AB22" s="9">
        <f t="shared" si="0"/>
        <v>0.20993379999999998</v>
      </c>
    </row>
    <row r="23" spans="1:28" x14ac:dyDescent="0.35">
      <c r="A23" s="4">
        <v>4508</v>
      </c>
      <c r="B23" s="5" t="s">
        <v>29</v>
      </c>
      <c r="C23" s="6">
        <v>43623</v>
      </c>
      <c r="D23" s="7">
        <v>140</v>
      </c>
      <c r="E23" s="8" t="s">
        <v>57</v>
      </c>
      <c r="F23" s="7" t="s">
        <v>106</v>
      </c>
      <c r="G23" s="8" t="s">
        <v>107</v>
      </c>
      <c r="H23" s="7" t="str">
        <f>"000244"</f>
        <v>000244</v>
      </c>
      <c r="I23" s="6">
        <v>41556</v>
      </c>
      <c r="J23" s="7" t="str">
        <f>"000072"</f>
        <v>000072</v>
      </c>
      <c r="K23" s="6">
        <v>41881</v>
      </c>
      <c r="L23" s="7" t="str">
        <f>"000362"</f>
        <v>000362</v>
      </c>
      <c r="M23" s="6">
        <v>41881</v>
      </c>
      <c r="N23" s="7">
        <v>13</v>
      </c>
      <c r="O23" s="7" t="str">
        <f>"002492"</f>
        <v>002492</v>
      </c>
      <c r="P23" s="6">
        <v>43622</v>
      </c>
      <c r="Q23" s="9">
        <v>55.328470000000003</v>
      </c>
      <c r="R23" s="9">
        <v>8.2993900000000007</v>
      </c>
      <c r="S23" s="9">
        <v>47.02908</v>
      </c>
      <c r="T23" s="7">
        <v>72</v>
      </c>
      <c r="U23" s="6">
        <v>43623</v>
      </c>
      <c r="V23" s="7">
        <v>9945417770</v>
      </c>
      <c r="W23" s="8" t="s">
        <v>49</v>
      </c>
      <c r="X23" s="7" t="s">
        <v>52</v>
      </c>
      <c r="Y23" s="8" t="s">
        <v>53</v>
      </c>
      <c r="Z23" s="7" t="s">
        <v>54</v>
      </c>
      <c r="AA23" s="8" t="s">
        <v>55</v>
      </c>
      <c r="AB23" s="9">
        <v>0.55328470000000007</v>
      </c>
    </row>
    <row r="24" spans="1:28" x14ac:dyDescent="0.35">
      <c r="A24" s="4">
        <v>4509</v>
      </c>
      <c r="B24" s="5" t="s">
        <v>29</v>
      </c>
      <c r="C24" s="6">
        <v>43623</v>
      </c>
      <c r="D24" s="7">
        <v>140</v>
      </c>
      <c r="E24" s="8" t="s">
        <v>57</v>
      </c>
      <c r="F24" s="7" t="s">
        <v>108</v>
      </c>
      <c r="G24" s="8" t="s">
        <v>109</v>
      </c>
      <c r="H24" s="7" t="str">
        <f>"000243"</f>
        <v>000243</v>
      </c>
      <c r="I24" s="6">
        <v>41556</v>
      </c>
      <c r="J24" s="7" t="str">
        <f>"000073"</f>
        <v>000073</v>
      </c>
      <c r="K24" s="6">
        <v>41881</v>
      </c>
      <c r="L24" s="7" t="str">
        <f>"000363"</f>
        <v>000363</v>
      </c>
      <c r="M24" s="6">
        <v>41881</v>
      </c>
      <c r="N24" s="7">
        <v>13</v>
      </c>
      <c r="O24" s="7" t="str">
        <f>"002493"</f>
        <v>002493</v>
      </c>
      <c r="P24" s="6">
        <v>43622</v>
      </c>
      <c r="Q24" s="9">
        <v>55.356169999999999</v>
      </c>
      <c r="R24" s="9">
        <v>8.3063199999999995</v>
      </c>
      <c r="S24" s="9">
        <v>47.049849999999999</v>
      </c>
      <c r="T24" s="7">
        <v>72</v>
      </c>
      <c r="U24" s="6">
        <v>43623</v>
      </c>
      <c r="V24" s="7">
        <v>9945417770</v>
      </c>
      <c r="W24" s="8" t="s">
        <v>49</v>
      </c>
      <c r="X24" s="7" t="s">
        <v>52</v>
      </c>
      <c r="Y24" s="8" t="s">
        <v>53</v>
      </c>
      <c r="Z24" s="7" t="s">
        <v>54</v>
      </c>
      <c r="AA24" s="8" t="s">
        <v>55</v>
      </c>
      <c r="AB24" s="9">
        <v>0.55356169999999993</v>
      </c>
    </row>
    <row r="25" spans="1:28" x14ac:dyDescent="0.35">
      <c r="A25" s="4">
        <v>4510</v>
      </c>
      <c r="B25" s="5" t="s">
        <v>29</v>
      </c>
      <c r="C25" s="6">
        <v>43623</v>
      </c>
      <c r="D25" s="7">
        <v>140</v>
      </c>
      <c r="E25" s="8" t="s">
        <v>57</v>
      </c>
      <c r="F25" s="7" t="s">
        <v>110</v>
      </c>
      <c r="G25" s="8" t="s">
        <v>111</v>
      </c>
      <c r="H25" s="7" t="str">
        <f>"000245"</f>
        <v>000245</v>
      </c>
      <c r="I25" s="6">
        <v>41556</v>
      </c>
      <c r="J25" s="7" t="str">
        <f>"000074"</f>
        <v>000074</v>
      </c>
      <c r="K25" s="6">
        <v>41881</v>
      </c>
      <c r="L25" s="7" t="str">
        <f>"000364"</f>
        <v>000364</v>
      </c>
      <c r="M25" s="6">
        <v>41881</v>
      </c>
      <c r="N25" s="7">
        <v>13</v>
      </c>
      <c r="O25" s="7" t="str">
        <f>"002494"</f>
        <v>002494</v>
      </c>
      <c r="P25" s="6">
        <v>43622</v>
      </c>
      <c r="Q25" s="9">
        <v>55.399569999999997</v>
      </c>
      <c r="R25" s="9">
        <v>8.3209999999999997</v>
      </c>
      <c r="S25" s="9">
        <v>47.078569999999999</v>
      </c>
      <c r="T25" s="7">
        <v>72</v>
      </c>
      <c r="U25" s="6">
        <v>43623</v>
      </c>
      <c r="V25" s="7">
        <v>9945417770</v>
      </c>
      <c r="W25" s="8" t="s">
        <v>49</v>
      </c>
      <c r="X25" s="7" t="s">
        <v>52</v>
      </c>
      <c r="Y25" s="8" t="s">
        <v>53</v>
      </c>
      <c r="Z25" s="7" t="s">
        <v>54</v>
      </c>
      <c r="AA25" s="8" t="s">
        <v>55</v>
      </c>
      <c r="AB25" s="9">
        <v>0.55399569999999998</v>
      </c>
    </row>
    <row r="26" spans="1:28" x14ac:dyDescent="0.35">
      <c r="A26" s="4">
        <v>4511</v>
      </c>
      <c r="B26" s="5" t="s">
        <v>29</v>
      </c>
      <c r="C26" s="6">
        <v>43623</v>
      </c>
      <c r="D26" s="7">
        <v>140</v>
      </c>
      <c r="E26" s="8" t="s">
        <v>57</v>
      </c>
      <c r="F26" s="7" t="s">
        <v>112</v>
      </c>
      <c r="G26" s="8" t="s">
        <v>113</v>
      </c>
      <c r="H26" s="7" t="str">
        <f>"000240"</f>
        <v>000240</v>
      </c>
      <c r="I26" s="6">
        <v>41556</v>
      </c>
      <c r="J26" s="7" t="str">
        <f>"000090"</f>
        <v>000090</v>
      </c>
      <c r="K26" s="6">
        <v>41911</v>
      </c>
      <c r="L26" s="7" t="str">
        <f>"000461"</f>
        <v>000461</v>
      </c>
      <c r="M26" s="6">
        <v>41911</v>
      </c>
      <c r="N26" s="7">
        <v>13</v>
      </c>
      <c r="O26" s="7" t="str">
        <f>"002495"</f>
        <v>002495</v>
      </c>
      <c r="P26" s="6">
        <v>43622</v>
      </c>
      <c r="Q26" s="9">
        <v>55.403950000000002</v>
      </c>
      <c r="R26" s="9">
        <v>8.3134599999999992</v>
      </c>
      <c r="S26" s="9">
        <v>47.090490000000003</v>
      </c>
      <c r="T26" s="7">
        <v>72</v>
      </c>
      <c r="U26" s="6">
        <v>43623</v>
      </c>
      <c r="V26" s="7">
        <v>9945417770</v>
      </c>
      <c r="W26" s="8" t="s">
        <v>49</v>
      </c>
      <c r="X26" s="7" t="s">
        <v>52</v>
      </c>
      <c r="Y26" s="8" t="s">
        <v>53</v>
      </c>
      <c r="Z26" s="7" t="s">
        <v>54</v>
      </c>
      <c r="AA26" s="8" t="s">
        <v>55</v>
      </c>
      <c r="AB26" s="9">
        <v>0.55403950000000002</v>
      </c>
    </row>
    <row r="27" spans="1:28" x14ac:dyDescent="0.35">
      <c r="A27" s="4">
        <v>4512</v>
      </c>
      <c r="B27" s="5" t="s">
        <v>29</v>
      </c>
      <c r="C27" s="6">
        <v>43623</v>
      </c>
      <c r="D27" s="7">
        <v>140</v>
      </c>
      <c r="E27" s="8" t="s">
        <v>57</v>
      </c>
      <c r="F27" s="7" t="s">
        <v>114</v>
      </c>
      <c r="G27" s="8" t="s">
        <v>115</v>
      </c>
      <c r="H27" s="7" t="str">
        <f>"000247"</f>
        <v>000247</v>
      </c>
      <c r="I27" s="6">
        <v>41556</v>
      </c>
      <c r="J27" s="7" t="str">
        <f>"000091"</f>
        <v>000091</v>
      </c>
      <c r="K27" s="6">
        <v>41911</v>
      </c>
      <c r="L27" s="7" t="str">
        <f>"000462"</f>
        <v>000462</v>
      </c>
      <c r="M27" s="6">
        <v>41911</v>
      </c>
      <c r="N27" s="7">
        <v>13</v>
      </c>
      <c r="O27" s="7" t="str">
        <f>"002496"</f>
        <v>002496</v>
      </c>
      <c r="P27" s="6">
        <v>43622</v>
      </c>
      <c r="Q27" s="9">
        <v>55.320650000000001</v>
      </c>
      <c r="R27" s="9">
        <v>8.2982300000000002</v>
      </c>
      <c r="S27" s="9">
        <v>47.022419999999997</v>
      </c>
      <c r="T27" s="7">
        <v>72</v>
      </c>
      <c r="U27" s="6">
        <v>43623</v>
      </c>
      <c r="V27" s="7">
        <v>9945417770</v>
      </c>
      <c r="W27" s="8" t="s">
        <v>49</v>
      </c>
      <c r="X27" s="7" t="s">
        <v>52</v>
      </c>
      <c r="Y27" s="8" t="s">
        <v>53</v>
      </c>
      <c r="Z27" s="7" t="s">
        <v>54</v>
      </c>
      <c r="AA27" s="8" t="s">
        <v>55</v>
      </c>
      <c r="AB27" s="9">
        <v>0.55320650000000005</v>
      </c>
    </row>
    <row r="28" spans="1:28" x14ac:dyDescent="0.35">
      <c r="A28" s="4">
        <v>4513</v>
      </c>
      <c r="B28" s="5" t="s">
        <v>29</v>
      </c>
      <c r="C28" s="6">
        <v>43623</v>
      </c>
      <c r="D28" s="7">
        <v>140</v>
      </c>
      <c r="E28" s="8" t="s">
        <v>57</v>
      </c>
      <c r="F28" s="7" t="s">
        <v>116</v>
      </c>
      <c r="G28" s="8" t="s">
        <v>117</v>
      </c>
      <c r="H28" s="7" t="str">
        <f>"000241"</f>
        <v>000241</v>
      </c>
      <c r="I28" s="6">
        <v>41556</v>
      </c>
      <c r="J28" s="7" t="str">
        <f>"000092"</f>
        <v>000092</v>
      </c>
      <c r="K28" s="6">
        <v>41911</v>
      </c>
      <c r="L28" s="7" t="str">
        <f>"000463"</f>
        <v>000463</v>
      </c>
      <c r="M28" s="6">
        <v>41911</v>
      </c>
      <c r="N28" s="7">
        <v>13</v>
      </c>
      <c r="O28" s="7" t="str">
        <f>"002497"</f>
        <v>002497</v>
      </c>
      <c r="P28" s="6">
        <v>43622</v>
      </c>
      <c r="Q28" s="9">
        <v>55.422280000000001</v>
      </c>
      <c r="R28" s="9">
        <v>8.3194499999999998</v>
      </c>
      <c r="S28" s="9">
        <v>47.102829999999997</v>
      </c>
      <c r="T28" s="7">
        <v>72</v>
      </c>
      <c r="U28" s="6">
        <v>43623</v>
      </c>
      <c r="V28" s="7">
        <v>9945417770</v>
      </c>
      <c r="W28" s="8" t="s">
        <v>49</v>
      </c>
      <c r="X28" s="7" t="s">
        <v>52</v>
      </c>
      <c r="Y28" s="8" t="s">
        <v>53</v>
      </c>
      <c r="Z28" s="7" t="s">
        <v>54</v>
      </c>
      <c r="AA28" s="8" t="s">
        <v>55</v>
      </c>
      <c r="AB28" s="9">
        <v>0.55422280000000002</v>
      </c>
    </row>
    <row r="29" spans="1:28" x14ac:dyDescent="0.35">
      <c r="A29" s="4">
        <v>4514</v>
      </c>
      <c r="B29" s="5" t="s">
        <v>29</v>
      </c>
      <c r="C29" s="6">
        <v>43623</v>
      </c>
      <c r="D29" s="7">
        <v>140</v>
      </c>
      <c r="E29" s="8" t="s">
        <v>57</v>
      </c>
      <c r="F29" s="7" t="s">
        <v>118</v>
      </c>
      <c r="G29" s="8" t="s">
        <v>119</v>
      </c>
      <c r="H29" s="7" t="str">
        <f>"000246"</f>
        <v>000246</v>
      </c>
      <c r="I29" s="6">
        <v>41556</v>
      </c>
      <c r="J29" s="7" t="str">
        <f>"000093"</f>
        <v>000093</v>
      </c>
      <c r="K29" s="6">
        <v>41911</v>
      </c>
      <c r="L29" s="7" t="str">
        <f>"000464"</f>
        <v>000464</v>
      </c>
      <c r="M29" s="6">
        <v>41911</v>
      </c>
      <c r="N29" s="7">
        <v>13</v>
      </c>
      <c r="O29" s="7" t="str">
        <f>"002498"</f>
        <v>002498</v>
      </c>
      <c r="P29" s="6">
        <v>43622</v>
      </c>
      <c r="Q29" s="9">
        <v>55.460929999999998</v>
      </c>
      <c r="R29" s="9">
        <v>8.3222000000000005</v>
      </c>
      <c r="S29" s="9">
        <v>47.138730000000002</v>
      </c>
      <c r="T29" s="7">
        <v>72</v>
      </c>
      <c r="U29" s="6">
        <v>43623</v>
      </c>
      <c r="V29" s="7">
        <v>9945417770</v>
      </c>
      <c r="W29" s="8" t="s">
        <v>49</v>
      </c>
      <c r="X29" s="7" t="s">
        <v>52</v>
      </c>
      <c r="Y29" s="8" t="s">
        <v>53</v>
      </c>
      <c r="Z29" s="7" t="s">
        <v>54</v>
      </c>
      <c r="AA29" s="8" t="s">
        <v>55</v>
      </c>
      <c r="AB29" s="9">
        <v>0.55460929999999997</v>
      </c>
    </row>
    <row r="30" spans="1:28" x14ac:dyDescent="0.35">
      <c r="A30" s="4">
        <v>4515</v>
      </c>
      <c r="B30" s="5" t="s">
        <v>29</v>
      </c>
      <c r="C30" s="6">
        <v>43623</v>
      </c>
      <c r="D30" s="7">
        <v>140</v>
      </c>
      <c r="E30" s="8" t="s">
        <v>57</v>
      </c>
      <c r="F30" s="7" t="s">
        <v>120</v>
      </c>
      <c r="G30" s="8" t="s">
        <v>121</v>
      </c>
      <c r="H30" s="7" t="str">
        <f>"000242"</f>
        <v>000242</v>
      </c>
      <c r="I30" s="6">
        <v>41556</v>
      </c>
      <c r="J30" s="7" t="str">
        <f>"000108"</f>
        <v>000108</v>
      </c>
      <c r="K30" s="6">
        <v>41943</v>
      </c>
      <c r="L30" s="7" t="str">
        <f>"000491"</f>
        <v>000491</v>
      </c>
      <c r="M30" s="6">
        <v>41943</v>
      </c>
      <c r="N30" s="7">
        <v>13</v>
      </c>
      <c r="O30" s="7" t="str">
        <f>"002499"</f>
        <v>002499</v>
      </c>
      <c r="P30" s="6">
        <v>43622</v>
      </c>
      <c r="Q30" s="9">
        <v>55.323900000000002</v>
      </c>
      <c r="R30" s="9">
        <v>8.2996999999999996</v>
      </c>
      <c r="S30" s="9">
        <v>47.0242</v>
      </c>
      <c r="T30" s="7">
        <v>72</v>
      </c>
      <c r="U30" s="6">
        <v>43623</v>
      </c>
      <c r="V30" s="7">
        <v>9886873382</v>
      </c>
      <c r="W30" s="8" t="s">
        <v>49</v>
      </c>
      <c r="X30" s="7" t="s">
        <v>52</v>
      </c>
      <c r="Y30" s="8" t="s">
        <v>53</v>
      </c>
      <c r="Z30" s="7" t="s">
        <v>54</v>
      </c>
      <c r="AA30" s="8" t="s">
        <v>55</v>
      </c>
      <c r="AB30" s="9">
        <v>0.55323900000000004</v>
      </c>
    </row>
    <row r="31" spans="1:28" x14ac:dyDescent="0.35">
      <c r="A31" s="4">
        <v>4516</v>
      </c>
      <c r="B31" s="5" t="s">
        <v>29</v>
      </c>
      <c r="C31" s="6">
        <v>43623</v>
      </c>
      <c r="D31" s="7">
        <v>140</v>
      </c>
      <c r="E31" s="8" t="s">
        <v>57</v>
      </c>
      <c r="F31" s="7" t="s">
        <v>122</v>
      </c>
      <c r="G31" s="8" t="s">
        <v>123</v>
      </c>
      <c r="H31" s="7" t="str">
        <f>"000159"</f>
        <v>000159</v>
      </c>
      <c r="I31" s="6">
        <v>41954</v>
      </c>
      <c r="J31" s="7" t="str">
        <f>"000154"</f>
        <v>000154</v>
      </c>
      <c r="K31" s="6">
        <v>41999</v>
      </c>
      <c r="L31" s="7" t="str">
        <f>"000603"</f>
        <v>000603</v>
      </c>
      <c r="M31" s="6">
        <v>41999</v>
      </c>
      <c r="N31" s="7">
        <v>14</v>
      </c>
      <c r="O31" s="7" t="str">
        <f>"002500"</f>
        <v>002500</v>
      </c>
      <c r="P31" s="6">
        <v>43622</v>
      </c>
      <c r="Q31" s="9">
        <v>10.10026</v>
      </c>
      <c r="R31" s="9">
        <v>1.3360799999999999</v>
      </c>
      <c r="S31" s="9">
        <v>8.7641799999999996</v>
      </c>
      <c r="T31" s="7">
        <v>72</v>
      </c>
      <c r="U31" s="6">
        <v>43623</v>
      </c>
      <c r="V31" s="7">
        <v>9945417770</v>
      </c>
      <c r="W31" s="8" t="s">
        <v>124</v>
      </c>
      <c r="X31" s="7" t="s">
        <v>30</v>
      </c>
      <c r="Y31" s="8" t="s">
        <v>31</v>
      </c>
      <c r="Z31" s="7" t="s">
        <v>54</v>
      </c>
      <c r="AA31" s="8" t="s">
        <v>55</v>
      </c>
      <c r="AB31" s="9">
        <v>0.1010026</v>
      </c>
    </row>
    <row r="32" spans="1:28" x14ac:dyDescent="0.35">
      <c r="A32" s="4">
        <v>4517</v>
      </c>
      <c r="B32" s="5" t="s">
        <v>29</v>
      </c>
      <c r="C32" s="6">
        <v>43623</v>
      </c>
      <c r="D32" s="7">
        <v>140</v>
      </c>
      <c r="E32" s="8" t="s">
        <v>57</v>
      </c>
      <c r="F32" s="7" t="s">
        <v>125</v>
      </c>
      <c r="G32" s="8" t="s">
        <v>126</v>
      </c>
      <c r="H32" s="7" t="str">
        <f>"000161"</f>
        <v>000161</v>
      </c>
      <c r="I32" s="6">
        <v>41954</v>
      </c>
      <c r="J32" s="7" t="str">
        <f>"000155"</f>
        <v>000155</v>
      </c>
      <c r="K32" s="6">
        <v>41999</v>
      </c>
      <c r="L32" s="7" t="str">
        <f>"000604"</f>
        <v>000604</v>
      </c>
      <c r="M32" s="6">
        <v>41999</v>
      </c>
      <c r="N32" s="7">
        <v>14</v>
      </c>
      <c r="O32" s="7" t="str">
        <f>"002501"</f>
        <v>002501</v>
      </c>
      <c r="P32" s="6">
        <v>43622</v>
      </c>
      <c r="Q32" s="9">
        <v>20.968019999999999</v>
      </c>
      <c r="R32" s="9">
        <v>2.9481999999999999</v>
      </c>
      <c r="S32" s="9">
        <v>18.019819999999999</v>
      </c>
      <c r="T32" s="7">
        <v>72</v>
      </c>
      <c r="U32" s="6">
        <v>43623</v>
      </c>
      <c r="V32" s="7">
        <v>9945417770</v>
      </c>
      <c r="W32" s="8" t="s">
        <v>127</v>
      </c>
      <c r="X32" s="7" t="s">
        <v>30</v>
      </c>
      <c r="Y32" s="8" t="s">
        <v>31</v>
      </c>
      <c r="Z32" s="7" t="s">
        <v>54</v>
      </c>
      <c r="AA32" s="8" t="s">
        <v>55</v>
      </c>
      <c r="AB32" s="9">
        <v>0.20968019999999998</v>
      </c>
    </row>
    <row r="33" spans="1:28" x14ac:dyDescent="0.35">
      <c r="A33" s="4">
        <v>4518</v>
      </c>
      <c r="B33" s="5" t="s">
        <v>29</v>
      </c>
      <c r="C33" s="6">
        <v>43623</v>
      </c>
      <c r="D33" s="7">
        <v>140</v>
      </c>
      <c r="E33" s="8" t="s">
        <v>57</v>
      </c>
      <c r="F33" s="7" t="s">
        <v>128</v>
      </c>
      <c r="G33" s="8" t="s">
        <v>129</v>
      </c>
      <c r="H33" s="7" t="str">
        <f>"000160"</f>
        <v>000160</v>
      </c>
      <c r="I33" s="6">
        <v>41954</v>
      </c>
      <c r="J33" s="7" t="str">
        <f>"000156"</f>
        <v>000156</v>
      </c>
      <c r="K33" s="6">
        <v>41999</v>
      </c>
      <c r="L33" s="7" t="str">
        <f>"000605"</f>
        <v>000605</v>
      </c>
      <c r="M33" s="6">
        <v>41999</v>
      </c>
      <c r="N33" s="7">
        <v>14</v>
      </c>
      <c r="O33" s="7" t="str">
        <f>"002502"</f>
        <v>002502</v>
      </c>
      <c r="P33" s="6">
        <v>43622</v>
      </c>
      <c r="Q33" s="9">
        <v>16.76951</v>
      </c>
      <c r="R33" s="9">
        <v>2.2685</v>
      </c>
      <c r="S33" s="9">
        <v>14.501010000000001</v>
      </c>
      <c r="T33" s="7">
        <v>72</v>
      </c>
      <c r="U33" s="6">
        <v>43623</v>
      </c>
      <c r="V33" s="7">
        <v>9945417770</v>
      </c>
      <c r="W33" s="8" t="s">
        <v>130</v>
      </c>
      <c r="X33" s="7" t="s">
        <v>30</v>
      </c>
      <c r="Y33" s="8" t="s">
        <v>31</v>
      </c>
      <c r="Z33" s="7" t="s">
        <v>54</v>
      </c>
      <c r="AA33" s="8" t="s">
        <v>55</v>
      </c>
      <c r="AB33" s="9">
        <v>0.16769510000000001</v>
      </c>
    </row>
    <row r="34" spans="1:28" x14ac:dyDescent="0.35">
      <c r="A34" s="4">
        <v>4519</v>
      </c>
      <c r="B34" s="5" t="s">
        <v>29</v>
      </c>
      <c r="C34" s="6">
        <v>43623</v>
      </c>
      <c r="D34" s="7">
        <v>140</v>
      </c>
      <c r="E34" s="8" t="s">
        <v>57</v>
      </c>
      <c r="F34" s="7" t="s">
        <v>131</v>
      </c>
      <c r="G34" s="8" t="s">
        <v>132</v>
      </c>
      <c r="H34" s="7" t="str">
        <f>"000158"</f>
        <v>000158</v>
      </c>
      <c r="I34" s="6">
        <v>41589</v>
      </c>
      <c r="J34" s="7" t="str">
        <f>"000157"</f>
        <v>000157</v>
      </c>
      <c r="K34" s="6">
        <v>41999</v>
      </c>
      <c r="L34" s="7" t="str">
        <f>"000607"</f>
        <v>000607</v>
      </c>
      <c r="M34" s="6">
        <v>41999</v>
      </c>
      <c r="N34" s="7">
        <v>14</v>
      </c>
      <c r="O34" s="7" t="str">
        <f>"002503"</f>
        <v>002503</v>
      </c>
      <c r="P34" s="6">
        <v>43622</v>
      </c>
      <c r="Q34" s="9">
        <v>20.94904</v>
      </c>
      <c r="R34" s="9">
        <v>2.9428000000000001</v>
      </c>
      <c r="S34" s="9">
        <v>18.006239999999998</v>
      </c>
      <c r="T34" s="7">
        <v>72</v>
      </c>
      <c r="U34" s="6">
        <v>43623</v>
      </c>
      <c r="V34" s="7">
        <v>9945417770</v>
      </c>
      <c r="W34" s="8" t="s">
        <v>124</v>
      </c>
      <c r="X34" s="7" t="s">
        <v>30</v>
      </c>
      <c r="Y34" s="8" t="s">
        <v>31</v>
      </c>
      <c r="Z34" s="7" t="s">
        <v>54</v>
      </c>
      <c r="AA34" s="8" t="s">
        <v>55</v>
      </c>
      <c r="AB34" s="9">
        <v>0.20949039999999999</v>
      </c>
    </row>
    <row r="35" spans="1:28" x14ac:dyDescent="0.35">
      <c r="A35" s="4">
        <v>4520</v>
      </c>
      <c r="B35" s="5" t="s">
        <v>29</v>
      </c>
      <c r="C35" s="6">
        <v>43623</v>
      </c>
      <c r="D35" s="7">
        <v>140</v>
      </c>
      <c r="E35" s="8" t="s">
        <v>57</v>
      </c>
      <c r="F35" s="7" t="s">
        <v>133</v>
      </c>
      <c r="G35" s="8" t="s">
        <v>134</v>
      </c>
      <c r="H35" s="7" t="str">
        <f>"000032"</f>
        <v>000032</v>
      </c>
      <c r="I35" s="6">
        <v>42943</v>
      </c>
      <c r="J35" s="7" t="str">
        <f>"000270"</f>
        <v>000270</v>
      </c>
      <c r="K35" s="6">
        <v>43549</v>
      </c>
      <c r="L35" s="7" t="str">
        <f>"000269"</f>
        <v>000269</v>
      </c>
      <c r="M35" s="6">
        <v>43549</v>
      </c>
      <c r="N35" s="7">
        <v>16</v>
      </c>
      <c r="O35" s="7" t="str">
        <f>"002320"</f>
        <v>002320</v>
      </c>
      <c r="P35" s="6">
        <v>43617</v>
      </c>
      <c r="Q35" s="9">
        <v>12.29142</v>
      </c>
      <c r="R35" s="9">
        <v>1.2155100000000001</v>
      </c>
      <c r="S35" s="9">
        <v>11.07591</v>
      </c>
      <c r="T35" s="7">
        <v>73</v>
      </c>
      <c r="U35" s="6">
        <v>43623</v>
      </c>
      <c r="V35" s="7">
        <v>9845273024</v>
      </c>
      <c r="W35" s="8" t="s">
        <v>135</v>
      </c>
      <c r="X35" s="7" t="s">
        <v>34</v>
      </c>
      <c r="Y35" s="8" t="s">
        <v>33</v>
      </c>
      <c r="Z35" s="7" t="s">
        <v>37</v>
      </c>
      <c r="AA35" s="8" t="s">
        <v>38</v>
      </c>
      <c r="AB35" s="9">
        <v>0.1229142</v>
      </c>
    </row>
    <row r="36" spans="1:28" x14ac:dyDescent="0.35">
      <c r="A36" s="4">
        <v>4521</v>
      </c>
      <c r="B36" s="5" t="s">
        <v>29</v>
      </c>
      <c r="C36" s="6">
        <v>43644</v>
      </c>
      <c r="D36" s="7">
        <v>140</v>
      </c>
      <c r="E36" s="8" t="s">
        <v>57</v>
      </c>
      <c r="F36" s="7" t="s">
        <v>136</v>
      </c>
      <c r="G36" s="8" t="s">
        <v>137</v>
      </c>
      <c r="H36" s="7" t="str">
        <f>"000400"</f>
        <v>000400</v>
      </c>
      <c r="I36" s="6">
        <v>43468</v>
      </c>
      <c r="J36" s="7" t="str">
        <f>"000048"</f>
        <v>000048</v>
      </c>
      <c r="K36" s="6">
        <v>43628</v>
      </c>
      <c r="L36" s="7" t="str">
        <f>"000089"</f>
        <v>000089</v>
      </c>
      <c r="M36" s="6">
        <v>43629</v>
      </c>
      <c r="N36" s="7">
        <v>19</v>
      </c>
      <c r="O36" s="7" t="str">
        <f>"002876"</f>
        <v>002876</v>
      </c>
      <c r="P36" s="6">
        <v>43636</v>
      </c>
      <c r="Q36" s="9">
        <v>24.999020000000002</v>
      </c>
      <c r="R36" s="9">
        <v>2.1739199999999999</v>
      </c>
      <c r="S36" s="9">
        <v>22.825099999999999</v>
      </c>
      <c r="T36" s="7">
        <v>95</v>
      </c>
      <c r="U36" s="6">
        <v>43644</v>
      </c>
      <c r="V36" s="7">
        <v>9845678994</v>
      </c>
      <c r="W36" s="8" t="s">
        <v>56</v>
      </c>
      <c r="X36" s="7" t="s">
        <v>41</v>
      </c>
      <c r="Y36" s="8" t="s">
        <v>42</v>
      </c>
      <c r="Z36" s="7" t="s">
        <v>54</v>
      </c>
      <c r="AA36" s="8" t="s">
        <v>55</v>
      </c>
      <c r="AB36" s="9">
        <v>0.24999020000000002</v>
      </c>
    </row>
    <row r="37" spans="1:28" x14ac:dyDescent="0.35">
      <c r="A37" s="4">
        <v>4522</v>
      </c>
      <c r="B37" s="5" t="s">
        <v>29</v>
      </c>
      <c r="C37" s="6">
        <v>43644</v>
      </c>
      <c r="D37" s="7">
        <v>140</v>
      </c>
      <c r="E37" s="8" t="s">
        <v>57</v>
      </c>
      <c r="F37" s="7" t="s">
        <v>138</v>
      </c>
      <c r="G37" s="8" t="s">
        <v>139</v>
      </c>
      <c r="H37" s="7" t="str">
        <f>"000406"</f>
        <v>000406</v>
      </c>
      <c r="I37" s="6">
        <v>43468</v>
      </c>
      <c r="J37" s="7" t="str">
        <f>"000050"</f>
        <v>000050</v>
      </c>
      <c r="K37" s="6">
        <v>43628</v>
      </c>
      <c r="L37" s="7" t="str">
        <f>"000090"</f>
        <v>000090</v>
      </c>
      <c r="M37" s="6">
        <v>43629</v>
      </c>
      <c r="N37" s="7">
        <v>19</v>
      </c>
      <c r="O37" s="7" t="str">
        <f>"002877"</f>
        <v>002877</v>
      </c>
      <c r="P37" s="6">
        <v>43636</v>
      </c>
      <c r="Q37" s="9">
        <v>14.998760000000001</v>
      </c>
      <c r="R37" s="9">
        <v>1.3042199999999999</v>
      </c>
      <c r="S37" s="9">
        <v>13.69454</v>
      </c>
      <c r="T37" s="7">
        <v>95</v>
      </c>
      <c r="U37" s="6">
        <v>43644</v>
      </c>
      <c r="V37" s="7">
        <v>9845678994</v>
      </c>
      <c r="W37" s="8" t="s">
        <v>56</v>
      </c>
      <c r="X37" s="7" t="s">
        <v>39</v>
      </c>
      <c r="Y37" s="8" t="s">
        <v>40</v>
      </c>
      <c r="Z37" s="7" t="s">
        <v>54</v>
      </c>
      <c r="AA37" s="8" t="s">
        <v>55</v>
      </c>
      <c r="AB37" s="9">
        <v>0.1499876</v>
      </c>
    </row>
    <row r="38" spans="1:28" x14ac:dyDescent="0.35">
      <c r="A38" s="4">
        <v>4523</v>
      </c>
      <c r="B38" s="5" t="s">
        <v>29</v>
      </c>
      <c r="C38" s="6">
        <v>43644</v>
      </c>
      <c r="D38" s="7">
        <v>140</v>
      </c>
      <c r="E38" s="8" t="s">
        <v>57</v>
      </c>
      <c r="F38" s="7" t="s">
        <v>140</v>
      </c>
      <c r="G38" s="8" t="s">
        <v>141</v>
      </c>
      <c r="H38" s="7" t="str">
        <f>"000409"</f>
        <v>000409</v>
      </c>
      <c r="I38" s="6">
        <v>43468</v>
      </c>
      <c r="J38" s="7" t="str">
        <f>"000049"</f>
        <v>000049</v>
      </c>
      <c r="K38" s="6">
        <v>43628</v>
      </c>
      <c r="L38" s="7" t="str">
        <f>"000091"</f>
        <v>000091</v>
      </c>
      <c r="M38" s="6">
        <v>43629</v>
      </c>
      <c r="N38" s="7">
        <v>19</v>
      </c>
      <c r="O38" s="7" t="str">
        <f>"002878"</f>
        <v>002878</v>
      </c>
      <c r="P38" s="6">
        <v>43636</v>
      </c>
      <c r="Q38" s="9">
        <v>19.999680000000001</v>
      </c>
      <c r="R38" s="9">
        <v>1.7390699999999999</v>
      </c>
      <c r="S38" s="9">
        <v>18.26061</v>
      </c>
      <c r="T38" s="7">
        <v>95</v>
      </c>
      <c r="U38" s="6">
        <v>43644</v>
      </c>
      <c r="V38" s="7">
        <v>9845678994</v>
      </c>
      <c r="W38" s="8" t="s">
        <v>56</v>
      </c>
      <c r="X38" s="7" t="s">
        <v>41</v>
      </c>
      <c r="Y38" s="8" t="s">
        <v>42</v>
      </c>
      <c r="Z38" s="7" t="s">
        <v>54</v>
      </c>
      <c r="AA38" s="8" t="s">
        <v>55</v>
      </c>
      <c r="AB38" s="9">
        <v>0.1999968</v>
      </c>
    </row>
    <row r="39" spans="1:28" x14ac:dyDescent="0.35">
      <c r="A39" s="4">
        <v>4524</v>
      </c>
      <c r="B39" s="5" t="s">
        <v>29</v>
      </c>
      <c r="C39" s="6">
        <v>43644</v>
      </c>
      <c r="D39" s="7">
        <v>140</v>
      </c>
      <c r="E39" s="8" t="s">
        <v>57</v>
      </c>
      <c r="F39" s="7" t="s">
        <v>142</v>
      </c>
      <c r="G39" s="8" t="s">
        <v>143</v>
      </c>
      <c r="H39" s="7" t="str">
        <f>"000410"</f>
        <v>000410</v>
      </c>
      <c r="I39" s="6">
        <v>43468</v>
      </c>
      <c r="J39" s="7" t="str">
        <f>"000047"</f>
        <v>000047</v>
      </c>
      <c r="K39" s="6">
        <v>43628</v>
      </c>
      <c r="L39" s="7" t="str">
        <f>"000092"</f>
        <v>000092</v>
      </c>
      <c r="M39" s="6">
        <v>43629</v>
      </c>
      <c r="N39" s="7">
        <v>19</v>
      </c>
      <c r="O39" s="7" t="str">
        <f>"002879"</f>
        <v>002879</v>
      </c>
      <c r="P39" s="6">
        <v>43636</v>
      </c>
      <c r="Q39" s="9">
        <v>24.999020000000002</v>
      </c>
      <c r="R39" s="9">
        <v>2.1740200000000001</v>
      </c>
      <c r="S39" s="9">
        <v>22.824999999999999</v>
      </c>
      <c r="T39" s="7">
        <v>95</v>
      </c>
      <c r="U39" s="6">
        <v>43644</v>
      </c>
      <c r="V39" s="7">
        <v>9845678994</v>
      </c>
      <c r="W39" s="8" t="s">
        <v>56</v>
      </c>
      <c r="X39" s="7" t="s">
        <v>41</v>
      </c>
      <c r="Y39" s="8" t="s">
        <v>42</v>
      </c>
      <c r="Z39" s="7" t="s">
        <v>54</v>
      </c>
      <c r="AA39" s="8" t="s">
        <v>55</v>
      </c>
      <c r="AB39" s="9">
        <v>0.24999020000000002</v>
      </c>
    </row>
    <row r="40" spans="1:28" x14ac:dyDescent="0.35">
      <c r="A40" s="4">
        <v>4525</v>
      </c>
      <c r="B40" s="5" t="s">
        <v>29</v>
      </c>
      <c r="C40" s="6">
        <v>43644</v>
      </c>
      <c r="D40" s="7">
        <v>140</v>
      </c>
      <c r="E40" s="8" t="s">
        <v>57</v>
      </c>
      <c r="F40" s="7" t="s">
        <v>144</v>
      </c>
      <c r="G40" s="8" t="s">
        <v>145</v>
      </c>
      <c r="H40" s="7" t="str">
        <f>"000407"</f>
        <v>000407</v>
      </c>
      <c r="I40" s="6">
        <v>43468</v>
      </c>
      <c r="J40" s="7" t="str">
        <f>"000046"</f>
        <v>000046</v>
      </c>
      <c r="K40" s="6">
        <v>43628</v>
      </c>
      <c r="L40" s="7" t="str">
        <f>"000095"</f>
        <v>000095</v>
      </c>
      <c r="M40" s="6">
        <v>43629</v>
      </c>
      <c r="N40" s="7">
        <v>19</v>
      </c>
      <c r="O40" s="7" t="str">
        <f>"002880"</f>
        <v>002880</v>
      </c>
      <c r="P40" s="6">
        <v>43636</v>
      </c>
      <c r="Q40" s="9">
        <v>14.99981</v>
      </c>
      <c r="R40" s="9">
        <v>1.3043899999999999</v>
      </c>
      <c r="S40" s="9">
        <v>13.69542</v>
      </c>
      <c r="T40" s="7">
        <v>95</v>
      </c>
      <c r="U40" s="6">
        <v>43644</v>
      </c>
      <c r="V40" s="7">
        <v>9845678994</v>
      </c>
      <c r="W40" s="8" t="s">
        <v>56</v>
      </c>
      <c r="X40" s="7" t="s">
        <v>39</v>
      </c>
      <c r="Y40" s="8" t="s">
        <v>40</v>
      </c>
      <c r="Z40" s="7" t="s">
        <v>54</v>
      </c>
      <c r="AA40" s="8" t="s">
        <v>55</v>
      </c>
      <c r="AB40" s="9">
        <v>0.1499981</v>
      </c>
    </row>
    <row r="41" spans="1:28" x14ac:dyDescent="0.35">
      <c r="A41" s="4">
        <v>4526</v>
      </c>
      <c r="B41" s="5" t="s">
        <v>172</v>
      </c>
      <c r="C41" s="6">
        <v>43647</v>
      </c>
      <c r="D41" s="7">
        <v>140</v>
      </c>
      <c r="E41" s="8" t="s">
        <v>57</v>
      </c>
      <c r="F41" s="7" t="s">
        <v>191</v>
      </c>
      <c r="G41" s="10" t="s">
        <v>190</v>
      </c>
      <c r="H41" s="7" t="str">
        <f>"000127"</f>
        <v>000127</v>
      </c>
      <c r="I41" s="6">
        <v>43118</v>
      </c>
      <c r="J41" s="7" t="str">
        <f>"000057"</f>
        <v>000057</v>
      </c>
      <c r="K41" s="6">
        <v>43118</v>
      </c>
      <c r="L41" s="7" t="str">
        <f>"000121"</f>
        <v>000121</v>
      </c>
      <c r="M41" s="6">
        <v>43122</v>
      </c>
      <c r="N41" s="7">
        <v>17</v>
      </c>
      <c r="O41" s="7" t="str">
        <f>"003126"</f>
        <v>003126</v>
      </c>
      <c r="P41" s="6">
        <v>43643</v>
      </c>
      <c r="Q41" s="11">
        <v>15.731019999999999</v>
      </c>
      <c r="R41" s="11">
        <v>1.7348300000000001</v>
      </c>
      <c r="S41" s="11">
        <v>13.99619</v>
      </c>
      <c r="T41" s="7">
        <v>96</v>
      </c>
      <c r="U41" s="6">
        <v>43647</v>
      </c>
      <c r="V41" s="7">
        <v>9886296777</v>
      </c>
      <c r="W41" s="10" t="s">
        <v>169</v>
      </c>
      <c r="X41" s="7" t="s">
        <v>30</v>
      </c>
      <c r="Y41" s="10" t="s">
        <v>31</v>
      </c>
      <c r="Z41" s="7" t="s">
        <v>54</v>
      </c>
      <c r="AA41" s="10" t="s">
        <v>55</v>
      </c>
      <c r="AB41" s="11">
        <f t="shared" ref="AB41:AB54" si="1">Q41/100</f>
        <v>0.15731019999999998</v>
      </c>
    </row>
    <row r="42" spans="1:28" x14ac:dyDescent="0.35">
      <c r="A42" s="4">
        <v>4527</v>
      </c>
      <c r="B42" s="5" t="s">
        <v>172</v>
      </c>
      <c r="C42" s="6">
        <v>43647</v>
      </c>
      <c r="D42" s="7">
        <v>140</v>
      </c>
      <c r="E42" s="8" t="s">
        <v>57</v>
      </c>
      <c r="F42" s="7" t="s">
        <v>189</v>
      </c>
      <c r="G42" s="10" t="s">
        <v>188</v>
      </c>
      <c r="H42" s="7" t="str">
        <f>"000090"</f>
        <v>000090</v>
      </c>
      <c r="I42" s="6">
        <v>43110</v>
      </c>
      <c r="J42" s="7" t="str">
        <f>"000071"</f>
        <v>000071</v>
      </c>
      <c r="K42" s="6">
        <v>43119</v>
      </c>
      <c r="L42" s="7" t="str">
        <f>"000133"</f>
        <v>000133</v>
      </c>
      <c r="M42" s="6">
        <v>43131</v>
      </c>
      <c r="N42" s="7">
        <v>17</v>
      </c>
      <c r="O42" s="7" t="str">
        <f>"003176"</f>
        <v>003176</v>
      </c>
      <c r="P42" s="6">
        <v>43643</v>
      </c>
      <c r="Q42" s="11">
        <v>2.8545400000000001</v>
      </c>
      <c r="R42" s="11">
        <v>0.27684999999999998</v>
      </c>
      <c r="S42" s="11">
        <v>2.57769</v>
      </c>
      <c r="T42" s="7">
        <v>96</v>
      </c>
      <c r="U42" s="6">
        <v>43647</v>
      </c>
      <c r="V42" s="7">
        <v>9449369566</v>
      </c>
      <c r="W42" s="10" t="s">
        <v>187</v>
      </c>
      <c r="X42" s="7" t="s">
        <v>30</v>
      </c>
      <c r="Y42" s="10" t="s">
        <v>31</v>
      </c>
      <c r="Z42" s="7" t="s">
        <v>54</v>
      </c>
      <c r="AA42" s="10" t="s">
        <v>55</v>
      </c>
      <c r="AB42" s="11">
        <f t="shared" si="1"/>
        <v>2.8545400000000002E-2</v>
      </c>
    </row>
    <row r="43" spans="1:28" x14ac:dyDescent="0.35">
      <c r="A43" s="4">
        <v>4528</v>
      </c>
      <c r="B43" s="5" t="s">
        <v>172</v>
      </c>
      <c r="C43" s="6">
        <v>43647</v>
      </c>
      <c r="D43" s="7">
        <v>140</v>
      </c>
      <c r="E43" s="8" t="s">
        <v>57</v>
      </c>
      <c r="F43" s="7" t="s">
        <v>186</v>
      </c>
      <c r="G43" s="10" t="s">
        <v>185</v>
      </c>
      <c r="H43" s="7" t="str">
        <f>"000091"</f>
        <v>000091</v>
      </c>
      <c r="I43" s="6">
        <v>43112</v>
      </c>
      <c r="J43" s="7" t="str">
        <f>"000037"</f>
        <v>000037</v>
      </c>
      <c r="K43" s="6">
        <v>43112</v>
      </c>
      <c r="L43" s="7" t="str">
        <f>"000134"</f>
        <v>000134</v>
      </c>
      <c r="M43" s="6">
        <v>43131</v>
      </c>
      <c r="N43" s="7">
        <v>17</v>
      </c>
      <c r="O43" s="7" t="str">
        <f>"003177"</f>
        <v>003177</v>
      </c>
      <c r="P43" s="6">
        <v>43643</v>
      </c>
      <c r="Q43" s="11">
        <v>14.693849999999999</v>
      </c>
      <c r="R43" s="11">
        <v>1.5868899999999999</v>
      </c>
      <c r="S43" s="11">
        <v>13.106960000000001</v>
      </c>
      <c r="T43" s="7">
        <v>96</v>
      </c>
      <c r="U43" s="6">
        <v>43647</v>
      </c>
      <c r="V43" s="7">
        <v>9449369566</v>
      </c>
      <c r="W43" s="10" t="s">
        <v>184</v>
      </c>
      <c r="X43" s="7" t="s">
        <v>30</v>
      </c>
      <c r="Y43" s="10" t="s">
        <v>31</v>
      </c>
      <c r="Z43" s="7" t="s">
        <v>54</v>
      </c>
      <c r="AA43" s="10" t="s">
        <v>55</v>
      </c>
      <c r="AB43" s="11">
        <f t="shared" si="1"/>
        <v>0.1469385</v>
      </c>
    </row>
    <row r="44" spans="1:28" x14ac:dyDescent="0.35">
      <c r="A44" s="4">
        <v>4529</v>
      </c>
      <c r="B44" s="5" t="s">
        <v>172</v>
      </c>
      <c r="C44" s="6">
        <v>43647</v>
      </c>
      <c r="D44" s="7">
        <v>140</v>
      </c>
      <c r="E44" s="8" t="s">
        <v>57</v>
      </c>
      <c r="F44" s="7" t="s">
        <v>183</v>
      </c>
      <c r="G44" s="10" t="s">
        <v>182</v>
      </c>
      <c r="H44" s="7" t="str">
        <f>"000169"</f>
        <v>000169</v>
      </c>
      <c r="I44" s="6">
        <v>43131</v>
      </c>
      <c r="J44" s="7" t="str">
        <f>"000098"</f>
        <v>000098</v>
      </c>
      <c r="K44" s="6">
        <v>43131</v>
      </c>
      <c r="L44" s="7" t="str">
        <f>"000159"</f>
        <v>000159</v>
      </c>
      <c r="M44" s="6">
        <v>43131</v>
      </c>
      <c r="N44" s="7">
        <v>18</v>
      </c>
      <c r="O44" s="7" t="str">
        <f>"003217"</f>
        <v>003217</v>
      </c>
      <c r="P44" s="6">
        <v>43643</v>
      </c>
      <c r="Q44" s="11">
        <v>20.99522</v>
      </c>
      <c r="R44" s="11">
        <v>2.2674599999999998</v>
      </c>
      <c r="S44" s="11">
        <v>18.72776</v>
      </c>
      <c r="T44" s="7">
        <v>96</v>
      </c>
      <c r="U44" s="6">
        <v>43647</v>
      </c>
      <c r="V44" s="7">
        <v>9845678994</v>
      </c>
      <c r="W44" s="10" t="s">
        <v>173</v>
      </c>
      <c r="X44" s="7" t="s">
        <v>43</v>
      </c>
      <c r="Y44" s="10" t="s">
        <v>44</v>
      </c>
      <c r="Z44" s="7" t="s">
        <v>54</v>
      </c>
      <c r="AA44" s="10" t="s">
        <v>55</v>
      </c>
      <c r="AB44" s="11">
        <f t="shared" si="1"/>
        <v>0.20995220000000001</v>
      </c>
    </row>
    <row r="45" spans="1:28" x14ac:dyDescent="0.35">
      <c r="A45" s="4">
        <v>4530</v>
      </c>
      <c r="B45" s="5" t="s">
        <v>172</v>
      </c>
      <c r="C45" s="6">
        <v>43647</v>
      </c>
      <c r="D45" s="7">
        <v>140</v>
      </c>
      <c r="E45" s="8" t="s">
        <v>57</v>
      </c>
      <c r="F45" s="7" t="s">
        <v>181</v>
      </c>
      <c r="G45" s="10" t="s">
        <v>180</v>
      </c>
      <c r="H45" s="7" t="str">
        <f>"000171"</f>
        <v>000171</v>
      </c>
      <c r="I45" s="6">
        <v>43131</v>
      </c>
      <c r="J45" s="7" t="str">
        <f>"000099"</f>
        <v>000099</v>
      </c>
      <c r="K45" s="6">
        <v>43131</v>
      </c>
      <c r="L45" s="7" t="str">
        <f>"000160"</f>
        <v>000160</v>
      </c>
      <c r="M45" s="6">
        <v>43131</v>
      </c>
      <c r="N45" s="7">
        <v>18</v>
      </c>
      <c r="O45" s="7" t="str">
        <f>"003223"</f>
        <v>003223</v>
      </c>
      <c r="P45" s="6">
        <v>43643</v>
      </c>
      <c r="Q45" s="11">
        <v>20.997540000000001</v>
      </c>
      <c r="R45" s="11">
        <v>2.2467000000000001</v>
      </c>
      <c r="S45" s="11">
        <v>18.75084</v>
      </c>
      <c r="T45" s="7">
        <v>96</v>
      </c>
      <c r="U45" s="6">
        <v>43647</v>
      </c>
      <c r="V45" s="7">
        <v>9845678994</v>
      </c>
      <c r="W45" s="10" t="s">
        <v>166</v>
      </c>
      <c r="X45" s="7" t="s">
        <v>43</v>
      </c>
      <c r="Y45" s="10" t="s">
        <v>44</v>
      </c>
      <c r="Z45" s="7" t="s">
        <v>54</v>
      </c>
      <c r="AA45" s="10" t="s">
        <v>55</v>
      </c>
      <c r="AB45" s="11">
        <f t="shared" si="1"/>
        <v>0.20997540000000001</v>
      </c>
    </row>
    <row r="46" spans="1:28" x14ac:dyDescent="0.35">
      <c r="A46" s="4">
        <v>4531</v>
      </c>
      <c r="B46" s="5" t="s">
        <v>172</v>
      </c>
      <c r="C46" s="6">
        <v>43647</v>
      </c>
      <c r="D46" s="7">
        <v>140</v>
      </c>
      <c r="E46" s="8" t="s">
        <v>57</v>
      </c>
      <c r="F46" s="7" t="s">
        <v>179</v>
      </c>
      <c r="G46" s="10" t="s">
        <v>178</v>
      </c>
      <c r="H46" s="7" t="str">
        <f>"000172"</f>
        <v>000172</v>
      </c>
      <c r="I46" s="6">
        <v>43131</v>
      </c>
      <c r="J46" s="7" t="str">
        <f>"000100"</f>
        <v>000100</v>
      </c>
      <c r="K46" s="6">
        <v>43131</v>
      </c>
      <c r="L46" s="7" t="str">
        <f>"000161"</f>
        <v>000161</v>
      </c>
      <c r="M46" s="6">
        <v>43131</v>
      </c>
      <c r="N46" s="7">
        <v>18</v>
      </c>
      <c r="O46" s="7" t="str">
        <f>"003224"</f>
        <v>003224</v>
      </c>
      <c r="P46" s="6">
        <v>43643</v>
      </c>
      <c r="Q46" s="11">
        <v>20.99616</v>
      </c>
      <c r="R46" s="11">
        <v>2.26756</v>
      </c>
      <c r="S46" s="11">
        <v>18.7286</v>
      </c>
      <c r="T46" s="7">
        <v>96</v>
      </c>
      <c r="U46" s="6">
        <v>43647</v>
      </c>
      <c r="V46" s="7">
        <v>9845678994</v>
      </c>
      <c r="W46" s="10" t="s">
        <v>173</v>
      </c>
      <c r="X46" s="7" t="s">
        <v>43</v>
      </c>
      <c r="Y46" s="10" t="s">
        <v>44</v>
      </c>
      <c r="Z46" s="7" t="s">
        <v>54</v>
      </c>
      <c r="AA46" s="10" t="s">
        <v>55</v>
      </c>
      <c r="AB46" s="11">
        <f t="shared" si="1"/>
        <v>0.2099616</v>
      </c>
    </row>
    <row r="47" spans="1:28" x14ac:dyDescent="0.35">
      <c r="A47" s="4">
        <v>4532</v>
      </c>
      <c r="B47" s="5" t="s">
        <v>172</v>
      </c>
      <c r="C47" s="6">
        <v>43647</v>
      </c>
      <c r="D47" s="7">
        <v>140</v>
      </c>
      <c r="E47" s="8" t="s">
        <v>57</v>
      </c>
      <c r="F47" s="7" t="s">
        <v>177</v>
      </c>
      <c r="G47" s="10" t="s">
        <v>176</v>
      </c>
      <c r="H47" s="7" t="str">
        <f>"000168"</f>
        <v>000168</v>
      </c>
      <c r="I47" s="6">
        <v>43131</v>
      </c>
      <c r="J47" s="7" t="str">
        <f>"000097"</f>
        <v>000097</v>
      </c>
      <c r="K47" s="6">
        <v>43131</v>
      </c>
      <c r="L47" s="7" t="str">
        <f>"000163"</f>
        <v>000163</v>
      </c>
      <c r="M47" s="6">
        <v>43131</v>
      </c>
      <c r="N47" s="7">
        <v>18</v>
      </c>
      <c r="O47" s="7" t="str">
        <f>"003226"</f>
        <v>003226</v>
      </c>
      <c r="P47" s="6">
        <v>43643</v>
      </c>
      <c r="Q47" s="11">
        <v>20.997060000000001</v>
      </c>
      <c r="R47" s="11">
        <v>2.2466699999999999</v>
      </c>
      <c r="S47" s="11">
        <v>18.750389999999999</v>
      </c>
      <c r="T47" s="7">
        <v>96</v>
      </c>
      <c r="U47" s="6">
        <v>43647</v>
      </c>
      <c r="V47" s="7">
        <v>9845678994</v>
      </c>
      <c r="W47" s="10" t="s">
        <v>173</v>
      </c>
      <c r="X47" s="7" t="s">
        <v>43</v>
      </c>
      <c r="Y47" s="10" t="s">
        <v>44</v>
      </c>
      <c r="Z47" s="7" t="s">
        <v>54</v>
      </c>
      <c r="AA47" s="10" t="s">
        <v>55</v>
      </c>
      <c r="AB47" s="11">
        <f t="shared" si="1"/>
        <v>0.20997060000000001</v>
      </c>
    </row>
    <row r="48" spans="1:28" x14ac:dyDescent="0.35">
      <c r="A48" s="4">
        <v>4533</v>
      </c>
      <c r="B48" s="5" t="s">
        <v>172</v>
      </c>
      <c r="C48" s="6">
        <v>43654</v>
      </c>
      <c r="D48" s="7">
        <v>140</v>
      </c>
      <c r="E48" s="8" t="s">
        <v>57</v>
      </c>
      <c r="F48" s="7" t="s">
        <v>175</v>
      </c>
      <c r="G48" s="10" t="s">
        <v>174</v>
      </c>
      <c r="H48" s="7" t="str">
        <f>"000167"</f>
        <v>000167</v>
      </c>
      <c r="I48" s="6">
        <v>43131</v>
      </c>
      <c r="J48" s="7" t="str">
        <f>"000096"</f>
        <v>000096</v>
      </c>
      <c r="K48" s="6">
        <v>43131</v>
      </c>
      <c r="L48" s="7" t="str">
        <f>"000164"</f>
        <v>000164</v>
      </c>
      <c r="M48" s="6">
        <v>43131</v>
      </c>
      <c r="N48" s="7">
        <v>18</v>
      </c>
      <c r="O48" s="7" t="str">
        <f>"003320"</f>
        <v>003320</v>
      </c>
      <c r="P48" s="6">
        <v>43650</v>
      </c>
      <c r="Q48" s="11">
        <v>20.986979999999999</v>
      </c>
      <c r="R48" s="11">
        <v>2.2455500000000002</v>
      </c>
      <c r="S48" s="11">
        <v>18.741430000000001</v>
      </c>
      <c r="T48" s="7">
        <v>108</v>
      </c>
      <c r="U48" s="6">
        <v>43654</v>
      </c>
      <c r="V48" s="7">
        <v>9845678994</v>
      </c>
      <c r="W48" s="10" t="s">
        <v>173</v>
      </c>
      <c r="X48" s="7" t="s">
        <v>43</v>
      </c>
      <c r="Y48" s="10" t="s">
        <v>44</v>
      </c>
      <c r="Z48" s="7" t="s">
        <v>54</v>
      </c>
      <c r="AA48" s="10" t="s">
        <v>55</v>
      </c>
      <c r="AB48" s="11">
        <f t="shared" si="1"/>
        <v>0.2098698</v>
      </c>
    </row>
    <row r="49" spans="1:28" x14ac:dyDescent="0.35">
      <c r="A49" s="4">
        <v>4534</v>
      </c>
      <c r="B49" s="5" t="s">
        <v>172</v>
      </c>
      <c r="C49" s="6">
        <v>43669</v>
      </c>
      <c r="D49" s="7">
        <v>140</v>
      </c>
      <c r="E49" s="8" t="s">
        <v>57</v>
      </c>
      <c r="F49" s="7" t="s">
        <v>171</v>
      </c>
      <c r="G49" s="10" t="s">
        <v>170</v>
      </c>
      <c r="H49" s="7" t="str">
        <f>"000126"</f>
        <v>000126</v>
      </c>
      <c r="I49" s="6">
        <v>43118</v>
      </c>
      <c r="J49" s="7" t="str">
        <f>"000058"</f>
        <v>000058</v>
      </c>
      <c r="K49" s="6">
        <v>43118</v>
      </c>
      <c r="L49" s="7" t="str">
        <f>"000120"</f>
        <v>000120</v>
      </c>
      <c r="M49" s="6">
        <v>43122</v>
      </c>
      <c r="N49" s="7">
        <v>17</v>
      </c>
      <c r="O49" s="7" t="str">
        <f>"003664"</f>
        <v>003664</v>
      </c>
      <c r="P49" s="6">
        <v>43664</v>
      </c>
      <c r="Q49" s="11">
        <v>15.682029999999999</v>
      </c>
      <c r="R49" s="11">
        <v>1.73108</v>
      </c>
      <c r="S49" s="11">
        <v>13.950950000000001</v>
      </c>
      <c r="T49" s="7">
        <v>122</v>
      </c>
      <c r="U49" s="6">
        <v>43669</v>
      </c>
      <c r="V49" s="7">
        <v>9886296777</v>
      </c>
      <c r="W49" s="10" t="s">
        <v>169</v>
      </c>
      <c r="X49" s="7" t="s">
        <v>30</v>
      </c>
      <c r="Y49" s="10" t="s">
        <v>31</v>
      </c>
      <c r="Z49" s="7" t="s">
        <v>54</v>
      </c>
      <c r="AA49" s="10" t="s">
        <v>55</v>
      </c>
      <c r="AB49" s="11">
        <f t="shared" si="1"/>
        <v>0.1568203</v>
      </c>
    </row>
    <row r="50" spans="1:28" x14ac:dyDescent="0.35">
      <c r="A50" s="4">
        <v>4535</v>
      </c>
      <c r="B50" s="5" t="s">
        <v>163</v>
      </c>
      <c r="C50" s="6">
        <v>43704</v>
      </c>
      <c r="D50" s="7">
        <v>140</v>
      </c>
      <c r="E50" s="8" t="s">
        <v>57</v>
      </c>
      <c r="F50" s="7" t="s">
        <v>168</v>
      </c>
      <c r="G50" s="10" t="s">
        <v>167</v>
      </c>
      <c r="H50" s="7" t="str">
        <f>"000264"</f>
        <v>000264</v>
      </c>
      <c r="I50" s="6">
        <v>43189</v>
      </c>
      <c r="J50" s="7" t="str">
        <f>"000169"</f>
        <v>000169</v>
      </c>
      <c r="K50" s="6">
        <v>43188</v>
      </c>
      <c r="L50" s="7" t="str">
        <f>"000256"</f>
        <v>000256</v>
      </c>
      <c r="M50" s="6">
        <v>43188</v>
      </c>
      <c r="N50" s="7">
        <v>18</v>
      </c>
      <c r="O50" s="7" t="str">
        <f>"004532"</f>
        <v>004532</v>
      </c>
      <c r="P50" s="6">
        <v>43693</v>
      </c>
      <c r="Q50" s="11">
        <v>20.997579999999999</v>
      </c>
      <c r="R50" s="11">
        <v>2.2467000000000001</v>
      </c>
      <c r="S50" s="11">
        <v>18.750879999999999</v>
      </c>
      <c r="T50" s="7">
        <v>166</v>
      </c>
      <c r="U50" s="6">
        <v>43704</v>
      </c>
      <c r="V50" s="7">
        <v>9845678994</v>
      </c>
      <c r="W50" s="10" t="s">
        <v>166</v>
      </c>
      <c r="X50" s="7" t="s">
        <v>165</v>
      </c>
      <c r="Y50" s="10" t="s">
        <v>164</v>
      </c>
      <c r="Z50" s="7" t="s">
        <v>54</v>
      </c>
      <c r="AA50" s="10" t="s">
        <v>55</v>
      </c>
      <c r="AB50" s="11">
        <f t="shared" si="1"/>
        <v>0.20997579999999999</v>
      </c>
    </row>
    <row r="51" spans="1:28" x14ac:dyDescent="0.35">
      <c r="A51" s="4">
        <v>4536</v>
      </c>
      <c r="B51" s="5" t="s">
        <v>163</v>
      </c>
      <c r="C51" s="6">
        <v>43704</v>
      </c>
      <c r="D51" s="7">
        <v>140</v>
      </c>
      <c r="E51" s="8" t="s">
        <v>57</v>
      </c>
      <c r="F51" s="7" t="s">
        <v>162</v>
      </c>
      <c r="G51" s="10" t="s">
        <v>161</v>
      </c>
      <c r="H51" s="7" t="str">
        <f>"000265"</f>
        <v>000265</v>
      </c>
      <c r="I51" s="6">
        <v>43188</v>
      </c>
      <c r="J51" s="7" t="str">
        <f>"000170"</f>
        <v>000170</v>
      </c>
      <c r="K51" s="6">
        <v>43188</v>
      </c>
      <c r="L51" s="7" t="str">
        <f>"000257"</f>
        <v>000257</v>
      </c>
      <c r="M51" s="6">
        <v>43188</v>
      </c>
      <c r="N51" s="7">
        <v>18</v>
      </c>
      <c r="O51" s="7" t="str">
        <f>"004533"</f>
        <v>004533</v>
      </c>
      <c r="P51" s="6">
        <v>43693</v>
      </c>
      <c r="Q51" s="11">
        <v>20.98883</v>
      </c>
      <c r="R51" s="11">
        <v>2.26674</v>
      </c>
      <c r="S51" s="11">
        <v>18.722090000000001</v>
      </c>
      <c r="T51" s="7">
        <v>166</v>
      </c>
      <c r="U51" s="6">
        <v>43704</v>
      </c>
      <c r="V51" s="7">
        <v>9845678994</v>
      </c>
      <c r="W51" s="10" t="s">
        <v>160</v>
      </c>
      <c r="X51" s="7" t="s">
        <v>43</v>
      </c>
      <c r="Y51" s="10" t="s">
        <v>44</v>
      </c>
      <c r="Z51" s="7" t="s">
        <v>54</v>
      </c>
      <c r="AA51" s="10" t="s">
        <v>55</v>
      </c>
      <c r="AB51" s="11">
        <f t="shared" si="1"/>
        <v>0.2098883</v>
      </c>
    </row>
    <row r="52" spans="1:28" x14ac:dyDescent="0.35">
      <c r="A52" s="4">
        <v>4537</v>
      </c>
      <c r="B52" s="5" t="s">
        <v>149</v>
      </c>
      <c r="C52" s="6">
        <v>43714</v>
      </c>
      <c r="D52" s="7">
        <v>140</v>
      </c>
      <c r="E52" s="8" t="s">
        <v>57</v>
      </c>
      <c r="F52" s="7" t="s">
        <v>159</v>
      </c>
      <c r="G52" s="10" t="s">
        <v>158</v>
      </c>
      <c r="H52" s="7" t="str">
        <f>"000282"</f>
        <v>000282</v>
      </c>
      <c r="I52" s="6">
        <v>43190</v>
      </c>
      <c r="J52" s="7" t="str">
        <f>"000171"</f>
        <v>000171</v>
      </c>
      <c r="K52" s="6">
        <v>43190</v>
      </c>
      <c r="L52" s="7" t="str">
        <f>"000274"</f>
        <v>000274</v>
      </c>
      <c r="M52" s="6">
        <v>43190</v>
      </c>
      <c r="N52" s="7">
        <v>18</v>
      </c>
      <c r="O52" s="7" t="str">
        <f>"004693"</f>
        <v>004693</v>
      </c>
      <c r="P52" s="6">
        <v>43698</v>
      </c>
      <c r="Q52" s="11">
        <v>19.512869999999999</v>
      </c>
      <c r="R52" s="11">
        <v>2.0878299999999999</v>
      </c>
      <c r="S52" s="11">
        <v>17.425039999999999</v>
      </c>
      <c r="T52" s="7">
        <v>175</v>
      </c>
      <c r="U52" s="6">
        <v>43714</v>
      </c>
      <c r="V52" s="7">
        <v>9845678994</v>
      </c>
      <c r="W52" s="10" t="s">
        <v>157</v>
      </c>
      <c r="X52" s="7" t="s">
        <v>43</v>
      </c>
      <c r="Y52" s="10" t="s">
        <v>44</v>
      </c>
      <c r="Z52" s="7" t="s">
        <v>54</v>
      </c>
      <c r="AA52" s="10" t="s">
        <v>55</v>
      </c>
      <c r="AB52" s="11">
        <f t="shared" si="1"/>
        <v>0.19512869999999999</v>
      </c>
    </row>
    <row r="53" spans="1:28" x14ac:dyDescent="0.35">
      <c r="A53" s="4">
        <v>4538</v>
      </c>
      <c r="B53" s="5" t="s">
        <v>149</v>
      </c>
      <c r="C53" s="6">
        <v>43719</v>
      </c>
      <c r="D53" s="7">
        <v>140</v>
      </c>
      <c r="E53" s="8" t="s">
        <v>57</v>
      </c>
      <c r="F53" s="7" t="s">
        <v>156</v>
      </c>
      <c r="G53" s="10" t="s">
        <v>155</v>
      </c>
      <c r="H53" s="7" t="str">
        <f>"000001"</f>
        <v>000001</v>
      </c>
      <c r="I53" s="6">
        <v>43266</v>
      </c>
      <c r="J53" s="7" t="str">
        <f>"000073"</f>
        <v>000073</v>
      </c>
      <c r="K53" s="6">
        <v>43322</v>
      </c>
      <c r="L53" s="7" t="str">
        <f>"000073"</f>
        <v>000073</v>
      </c>
      <c r="M53" s="6">
        <v>43322</v>
      </c>
      <c r="N53" s="7">
        <v>18</v>
      </c>
      <c r="O53" s="7" t="str">
        <f>"004908"</f>
        <v>004908</v>
      </c>
      <c r="P53" s="6">
        <v>43711</v>
      </c>
      <c r="Q53" s="11">
        <v>9.7812699999999992</v>
      </c>
      <c r="R53" s="11">
        <v>0.20541999999999999</v>
      </c>
      <c r="S53" s="11">
        <v>9.5758500000000009</v>
      </c>
      <c r="T53" s="7">
        <v>180</v>
      </c>
      <c r="U53" s="6">
        <v>43719</v>
      </c>
      <c r="V53" s="7">
        <v>9972807108</v>
      </c>
      <c r="W53" s="10" t="s">
        <v>154</v>
      </c>
      <c r="X53" s="7" t="s">
        <v>153</v>
      </c>
      <c r="Y53" s="10" t="s">
        <v>152</v>
      </c>
      <c r="Z53" s="7" t="s">
        <v>151</v>
      </c>
      <c r="AA53" s="10" t="s">
        <v>150</v>
      </c>
      <c r="AB53" s="11">
        <f t="shared" si="1"/>
        <v>9.7812699999999989E-2</v>
      </c>
    </row>
    <row r="54" spans="1:28" x14ac:dyDescent="0.35">
      <c r="A54" s="4">
        <v>4539</v>
      </c>
      <c r="B54" s="5" t="s">
        <v>149</v>
      </c>
      <c r="C54" s="6">
        <v>43725</v>
      </c>
      <c r="D54" s="7">
        <v>140</v>
      </c>
      <c r="E54" s="8" t="s">
        <v>57</v>
      </c>
      <c r="F54" s="7" t="s">
        <v>148</v>
      </c>
      <c r="G54" s="10" t="s">
        <v>147</v>
      </c>
      <c r="H54" s="7" t="str">
        <f>"000097"</f>
        <v>000097</v>
      </c>
      <c r="I54" s="6">
        <v>43119</v>
      </c>
      <c r="J54" s="7" t="str">
        <f>"000105"</f>
        <v>000105</v>
      </c>
      <c r="K54" s="6">
        <v>43166</v>
      </c>
      <c r="L54" s="7" t="str">
        <f>"000132"</f>
        <v>000132</v>
      </c>
      <c r="M54" s="6">
        <v>43166</v>
      </c>
      <c r="N54" s="7">
        <v>17</v>
      </c>
      <c r="O54" s="7" t="str">
        <f>"004922"</f>
        <v>004922</v>
      </c>
      <c r="P54" s="6">
        <v>43714</v>
      </c>
      <c r="Q54" s="11">
        <v>5.8765700000000001</v>
      </c>
      <c r="R54" s="11">
        <v>0.74045000000000005</v>
      </c>
      <c r="S54" s="11">
        <v>5.13612</v>
      </c>
      <c r="T54" s="7">
        <v>190</v>
      </c>
      <c r="U54" s="6">
        <v>43725</v>
      </c>
      <c r="V54" s="7">
        <v>9845273024</v>
      </c>
      <c r="W54" s="10" t="s">
        <v>146</v>
      </c>
      <c r="X54" s="7" t="s">
        <v>43</v>
      </c>
      <c r="Y54" s="10" t="s">
        <v>44</v>
      </c>
      <c r="Z54" s="7" t="s">
        <v>37</v>
      </c>
      <c r="AA54" s="10" t="s">
        <v>38</v>
      </c>
      <c r="AB54" s="11">
        <f t="shared" si="1"/>
        <v>5.8765700000000004E-2</v>
      </c>
    </row>
    <row r="55" spans="1:28" x14ac:dyDescent="0.35">
      <c r="A55" s="4">
        <v>4540</v>
      </c>
      <c r="B55" s="5" t="s">
        <v>192</v>
      </c>
      <c r="C55" s="6">
        <v>43752</v>
      </c>
      <c r="D55" s="4">
        <v>140</v>
      </c>
      <c r="E55" s="8" t="s">
        <v>57</v>
      </c>
      <c r="F55" s="7" t="s">
        <v>193</v>
      </c>
      <c r="G55" s="8" t="s">
        <v>194</v>
      </c>
      <c r="H55" s="7" t="str">
        <f>"000076"</f>
        <v>000076</v>
      </c>
      <c r="I55" s="6">
        <v>43217</v>
      </c>
      <c r="J55" s="7" t="str">
        <f>"000004"</f>
        <v>000004</v>
      </c>
      <c r="K55" s="6">
        <v>43217</v>
      </c>
      <c r="L55" s="7" t="str">
        <f>"000013"</f>
        <v>000013</v>
      </c>
      <c r="M55" s="6">
        <v>43217</v>
      </c>
      <c r="N55" s="7">
        <v>18</v>
      </c>
      <c r="O55" s="7" t="str">
        <f>"005519"</f>
        <v>005519</v>
      </c>
      <c r="P55" s="6">
        <v>43739</v>
      </c>
      <c r="Q55" s="9">
        <v>9.2042000000000002</v>
      </c>
      <c r="R55" s="9">
        <v>0.89278999999999997</v>
      </c>
      <c r="S55" s="9">
        <v>8.3114100000000004</v>
      </c>
      <c r="T55" s="7">
        <v>13</v>
      </c>
      <c r="U55" s="6">
        <v>43752</v>
      </c>
      <c r="V55" s="7">
        <v>9880474544</v>
      </c>
      <c r="W55" s="8" t="s">
        <v>195</v>
      </c>
      <c r="X55" s="7" t="s">
        <v>196</v>
      </c>
      <c r="Y55" s="8" t="s">
        <v>197</v>
      </c>
      <c r="Z55" s="7" t="s">
        <v>54</v>
      </c>
      <c r="AA55" s="8" t="s">
        <v>55</v>
      </c>
      <c r="AB55" s="9">
        <v>9.2041999999999999E-2</v>
      </c>
    </row>
    <row r="56" spans="1:28" x14ac:dyDescent="0.35">
      <c r="A56" s="4">
        <v>4541</v>
      </c>
      <c r="B56" s="5" t="s">
        <v>192</v>
      </c>
      <c r="C56" s="6">
        <v>43757</v>
      </c>
      <c r="D56" s="4">
        <v>140</v>
      </c>
      <c r="E56" s="8" t="s">
        <v>57</v>
      </c>
      <c r="F56" s="7" t="s">
        <v>198</v>
      </c>
      <c r="G56" s="8" t="s">
        <v>199</v>
      </c>
      <c r="H56" s="7" t="str">
        <f>"000080"</f>
        <v>000080</v>
      </c>
      <c r="I56" s="6">
        <v>43217</v>
      </c>
      <c r="J56" s="7" t="str">
        <f>"000060"</f>
        <v>000060</v>
      </c>
      <c r="K56" s="6">
        <v>43218</v>
      </c>
      <c r="L56" s="7" t="str">
        <f>"000079"</f>
        <v>000079</v>
      </c>
      <c r="M56" s="6">
        <v>43218</v>
      </c>
      <c r="N56" s="7">
        <v>18</v>
      </c>
      <c r="O56" s="7" t="str">
        <f>"005570"</f>
        <v>005570</v>
      </c>
      <c r="P56" s="6">
        <v>43739</v>
      </c>
      <c r="Q56" s="9">
        <v>9.9849399999999999</v>
      </c>
      <c r="R56" s="9">
        <v>0.96848000000000001</v>
      </c>
      <c r="S56" s="9">
        <v>9.0164600000000004</v>
      </c>
      <c r="T56" s="7">
        <v>13</v>
      </c>
      <c r="U56" s="6">
        <v>43757</v>
      </c>
      <c r="V56" s="7">
        <v>9980193075</v>
      </c>
      <c r="W56" s="8" t="s">
        <v>200</v>
      </c>
      <c r="X56" s="7" t="s">
        <v>196</v>
      </c>
      <c r="Y56" s="8" t="s">
        <v>197</v>
      </c>
      <c r="Z56" s="7" t="s">
        <v>54</v>
      </c>
      <c r="AA56" s="8" t="s">
        <v>55</v>
      </c>
      <c r="AB56" s="9">
        <v>9.9849400000000005E-2</v>
      </c>
    </row>
    <row r="57" spans="1:28" x14ac:dyDescent="0.35">
      <c r="A57" s="4">
        <v>4542</v>
      </c>
      <c r="B57" s="5" t="s">
        <v>192</v>
      </c>
      <c r="C57" s="6">
        <v>43757</v>
      </c>
      <c r="D57" s="4">
        <v>140</v>
      </c>
      <c r="E57" s="8" t="s">
        <v>57</v>
      </c>
      <c r="F57" s="7" t="s">
        <v>201</v>
      </c>
      <c r="G57" s="8" t="s">
        <v>202</v>
      </c>
      <c r="H57" s="7" t="str">
        <f>"000081"</f>
        <v>000081</v>
      </c>
      <c r="I57" s="6">
        <v>43217</v>
      </c>
      <c r="J57" s="7" t="str">
        <f>"000061"</f>
        <v>000061</v>
      </c>
      <c r="K57" s="6">
        <v>43218</v>
      </c>
      <c r="L57" s="7" t="str">
        <f>"000080"</f>
        <v>000080</v>
      </c>
      <c r="M57" s="6">
        <v>43218</v>
      </c>
      <c r="N57" s="7">
        <v>18</v>
      </c>
      <c r="O57" s="7" t="str">
        <f>"005571"</f>
        <v>005571</v>
      </c>
      <c r="P57" s="6">
        <v>43739</v>
      </c>
      <c r="Q57" s="9">
        <v>24.961580000000001</v>
      </c>
      <c r="R57" s="9">
        <v>2.6958199999999999</v>
      </c>
      <c r="S57" s="9">
        <v>22.26576</v>
      </c>
      <c r="T57" s="7">
        <v>13</v>
      </c>
      <c r="U57" s="6">
        <v>43757</v>
      </c>
      <c r="V57" s="7">
        <v>9980193075</v>
      </c>
      <c r="W57" s="8" t="s">
        <v>203</v>
      </c>
      <c r="X57" s="7" t="s">
        <v>196</v>
      </c>
      <c r="Y57" s="8" t="s">
        <v>197</v>
      </c>
      <c r="Z57" s="7" t="s">
        <v>54</v>
      </c>
      <c r="AA57" s="8" t="s">
        <v>55</v>
      </c>
      <c r="AB57" s="9">
        <v>0.24961580000000003</v>
      </c>
    </row>
    <row r="58" spans="1:28" x14ac:dyDescent="0.35">
      <c r="A58" s="4">
        <v>4543</v>
      </c>
      <c r="B58" s="5" t="s">
        <v>192</v>
      </c>
      <c r="C58" s="6">
        <v>43757</v>
      </c>
      <c r="D58" s="4">
        <v>140</v>
      </c>
      <c r="E58" s="8" t="s">
        <v>57</v>
      </c>
      <c r="F58" s="7" t="s">
        <v>204</v>
      </c>
      <c r="G58" s="8" t="s">
        <v>205</v>
      </c>
      <c r="H58" s="7" t="str">
        <f>"000094"</f>
        <v>000094</v>
      </c>
      <c r="I58" s="6">
        <v>43218</v>
      </c>
      <c r="J58" s="7" t="str">
        <f>"000062"</f>
        <v>000062</v>
      </c>
      <c r="K58" s="6">
        <v>43218</v>
      </c>
      <c r="L58" s="7" t="str">
        <f>"000095"</f>
        <v>000095</v>
      </c>
      <c r="M58" s="6">
        <v>43220</v>
      </c>
      <c r="N58" s="7">
        <v>18</v>
      </c>
      <c r="O58" s="7" t="str">
        <f>"005604"</f>
        <v>005604</v>
      </c>
      <c r="P58" s="6">
        <v>43739</v>
      </c>
      <c r="Q58" s="9">
        <v>9.2399400000000007</v>
      </c>
      <c r="R58" s="9">
        <v>0.96087</v>
      </c>
      <c r="S58" s="9">
        <v>8.2790700000000008</v>
      </c>
      <c r="T58" s="7">
        <v>13</v>
      </c>
      <c r="U58" s="6">
        <v>43757</v>
      </c>
      <c r="V58" s="7">
        <v>9448174223</v>
      </c>
      <c r="W58" s="8" t="s">
        <v>206</v>
      </c>
      <c r="X58" s="7" t="s">
        <v>196</v>
      </c>
      <c r="Y58" s="8" t="s">
        <v>197</v>
      </c>
      <c r="Z58" s="7" t="s">
        <v>54</v>
      </c>
      <c r="AA58" s="8" t="s">
        <v>55</v>
      </c>
      <c r="AB58" s="9">
        <v>9.2399400000000007E-2</v>
      </c>
    </row>
    <row r="59" spans="1:28" x14ac:dyDescent="0.35">
      <c r="A59" s="4">
        <v>4544</v>
      </c>
      <c r="B59" s="5" t="s">
        <v>192</v>
      </c>
      <c r="C59" s="6">
        <v>43757</v>
      </c>
      <c r="D59" s="4">
        <v>140</v>
      </c>
      <c r="E59" s="8" t="s">
        <v>57</v>
      </c>
      <c r="F59" s="7" t="s">
        <v>207</v>
      </c>
      <c r="G59" s="8" t="s">
        <v>208</v>
      </c>
      <c r="H59" s="7" t="str">
        <f>"000095"</f>
        <v>000095</v>
      </c>
      <c r="I59" s="6">
        <v>43218</v>
      </c>
      <c r="J59" s="7" t="str">
        <f>"000063"</f>
        <v>000063</v>
      </c>
      <c r="K59" s="6">
        <v>43218</v>
      </c>
      <c r="L59" s="7" t="str">
        <f>"000096"</f>
        <v>000096</v>
      </c>
      <c r="M59" s="6">
        <v>43220</v>
      </c>
      <c r="N59" s="7">
        <v>18</v>
      </c>
      <c r="O59" s="7" t="str">
        <f>"005605"</f>
        <v>005605</v>
      </c>
      <c r="P59" s="6">
        <v>43739</v>
      </c>
      <c r="Q59" s="9">
        <v>9.3546099999999992</v>
      </c>
      <c r="R59" s="9">
        <v>0.97294000000000003</v>
      </c>
      <c r="S59" s="9">
        <v>8.3816699999999997</v>
      </c>
      <c r="T59" s="7">
        <v>13</v>
      </c>
      <c r="U59" s="6">
        <v>43757</v>
      </c>
      <c r="V59" s="7">
        <v>9448174223</v>
      </c>
      <c r="W59" s="8" t="s">
        <v>209</v>
      </c>
      <c r="X59" s="7" t="s">
        <v>196</v>
      </c>
      <c r="Y59" s="8" t="s">
        <v>197</v>
      </c>
      <c r="Z59" s="7" t="s">
        <v>54</v>
      </c>
      <c r="AA59" s="8" t="s">
        <v>55</v>
      </c>
      <c r="AB59" s="9">
        <v>9.3546099999999993E-2</v>
      </c>
    </row>
    <row r="60" spans="1:28" x14ac:dyDescent="0.35">
      <c r="A60" s="4">
        <v>4545</v>
      </c>
      <c r="B60" s="5" t="s">
        <v>192</v>
      </c>
      <c r="C60" s="6">
        <v>43757</v>
      </c>
      <c r="D60" s="4">
        <v>140</v>
      </c>
      <c r="E60" s="8" t="s">
        <v>57</v>
      </c>
      <c r="F60" s="7" t="s">
        <v>210</v>
      </c>
      <c r="G60" s="8" t="s">
        <v>211</v>
      </c>
      <c r="H60" s="7" t="str">
        <f>"000096"</f>
        <v>000096</v>
      </c>
      <c r="I60" s="6">
        <v>43220</v>
      </c>
      <c r="J60" s="7" t="str">
        <f>"000064"</f>
        <v>000064</v>
      </c>
      <c r="K60" s="6">
        <v>43220</v>
      </c>
      <c r="L60" s="7" t="str">
        <f>"000097"</f>
        <v>000097</v>
      </c>
      <c r="M60" s="6">
        <v>43220</v>
      </c>
      <c r="N60" s="7">
        <v>18</v>
      </c>
      <c r="O60" s="7" t="str">
        <f>"005606"</f>
        <v>005606</v>
      </c>
      <c r="P60" s="6">
        <v>43739</v>
      </c>
      <c r="Q60" s="9">
        <v>18.460460000000001</v>
      </c>
      <c r="R60" s="9">
        <v>2.0138400000000001</v>
      </c>
      <c r="S60" s="9">
        <v>16.446619999999999</v>
      </c>
      <c r="T60" s="7">
        <v>13</v>
      </c>
      <c r="U60" s="6">
        <v>43757</v>
      </c>
      <c r="V60" s="7">
        <v>8073202125</v>
      </c>
      <c r="W60" s="8" t="s">
        <v>212</v>
      </c>
      <c r="X60" s="7" t="s">
        <v>196</v>
      </c>
      <c r="Y60" s="8" t="s">
        <v>197</v>
      </c>
      <c r="Z60" s="7" t="s">
        <v>54</v>
      </c>
      <c r="AA60" s="8" t="s">
        <v>55</v>
      </c>
      <c r="AB60" s="9">
        <v>0.18460460000000001</v>
      </c>
    </row>
    <row r="61" spans="1:28" x14ac:dyDescent="0.35">
      <c r="A61" s="4">
        <v>4546</v>
      </c>
      <c r="B61" s="5" t="s">
        <v>213</v>
      </c>
      <c r="C61" s="6">
        <v>43809</v>
      </c>
      <c r="D61" s="4">
        <v>140</v>
      </c>
      <c r="E61" s="8" t="s">
        <v>57</v>
      </c>
      <c r="F61" s="7" t="s">
        <v>214</v>
      </c>
      <c r="G61" s="8" t="s">
        <v>215</v>
      </c>
      <c r="H61" s="7" t="str">
        <f>"000223"</f>
        <v>000223</v>
      </c>
      <c r="I61" s="6">
        <v>43372</v>
      </c>
      <c r="J61" s="7" t="str">
        <f>"000085"</f>
        <v>000085</v>
      </c>
      <c r="K61" s="6">
        <v>43372</v>
      </c>
      <c r="L61" s="7" t="str">
        <f>"000193"</f>
        <v>000193</v>
      </c>
      <c r="M61" s="6">
        <v>43372</v>
      </c>
      <c r="N61" s="7">
        <v>18</v>
      </c>
      <c r="O61" s="7" t="str">
        <f>"006668"</f>
        <v>006668</v>
      </c>
      <c r="P61" s="6">
        <v>43805</v>
      </c>
      <c r="Q61" s="9">
        <v>22.198270000000001</v>
      </c>
      <c r="R61" s="9">
        <v>2.6235599999999999</v>
      </c>
      <c r="S61" s="9">
        <v>19.57471</v>
      </c>
      <c r="T61" s="7">
        <v>13</v>
      </c>
      <c r="U61" s="6">
        <v>43809</v>
      </c>
      <c r="V61" s="7">
        <v>9845678994</v>
      </c>
      <c r="W61" s="8" t="s">
        <v>216</v>
      </c>
      <c r="X61" s="7" t="s">
        <v>217</v>
      </c>
      <c r="Y61" s="8" t="s">
        <v>218</v>
      </c>
      <c r="Z61" s="7" t="s">
        <v>54</v>
      </c>
      <c r="AA61" s="8" t="s">
        <v>55</v>
      </c>
      <c r="AB61" s="9">
        <v>0.22198270000000001</v>
      </c>
    </row>
    <row r="62" spans="1:28" x14ac:dyDescent="0.35">
      <c r="A62" s="4">
        <v>4547</v>
      </c>
      <c r="B62" s="5" t="s">
        <v>213</v>
      </c>
      <c r="C62" s="6">
        <v>43809</v>
      </c>
      <c r="D62" s="4">
        <v>140</v>
      </c>
      <c r="E62" s="8" t="s">
        <v>57</v>
      </c>
      <c r="F62" s="7" t="s">
        <v>219</v>
      </c>
      <c r="G62" s="8" t="s">
        <v>220</v>
      </c>
      <c r="H62" s="7" t="str">
        <f>"000224"</f>
        <v>000224</v>
      </c>
      <c r="I62" s="6">
        <v>43372</v>
      </c>
      <c r="J62" s="7" t="str">
        <f>"000087"</f>
        <v>000087</v>
      </c>
      <c r="K62" s="6">
        <v>43372</v>
      </c>
      <c r="L62" s="7" t="str">
        <f>"000194"</f>
        <v>000194</v>
      </c>
      <c r="M62" s="6">
        <v>43372</v>
      </c>
      <c r="N62" s="7">
        <v>18</v>
      </c>
      <c r="O62" s="7" t="str">
        <f>"006669"</f>
        <v>006669</v>
      </c>
      <c r="P62" s="6">
        <v>43805</v>
      </c>
      <c r="Q62" s="9">
        <v>22.197659999999999</v>
      </c>
      <c r="R62" s="9">
        <v>2.8503599999999998</v>
      </c>
      <c r="S62" s="9">
        <v>19.347300000000001</v>
      </c>
      <c r="T62" s="7">
        <v>13</v>
      </c>
      <c r="U62" s="6">
        <v>43809</v>
      </c>
      <c r="V62" s="7">
        <v>9845678994</v>
      </c>
      <c r="W62" s="8" t="s">
        <v>216</v>
      </c>
      <c r="X62" s="7" t="s">
        <v>217</v>
      </c>
      <c r="Y62" s="8" t="s">
        <v>218</v>
      </c>
      <c r="Z62" s="7" t="s">
        <v>54</v>
      </c>
      <c r="AA62" s="8" t="s">
        <v>55</v>
      </c>
      <c r="AB62" s="9">
        <v>0.2219766</v>
      </c>
    </row>
    <row r="63" spans="1:28" x14ac:dyDescent="0.35">
      <c r="A63" s="4">
        <v>4548</v>
      </c>
      <c r="B63" s="5" t="s">
        <v>213</v>
      </c>
      <c r="C63" s="6">
        <v>43809</v>
      </c>
      <c r="D63" s="4">
        <v>140</v>
      </c>
      <c r="E63" s="8" t="s">
        <v>57</v>
      </c>
      <c r="F63" s="7" t="s">
        <v>221</v>
      </c>
      <c r="G63" s="8" t="s">
        <v>222</v>
      </c>
      <c r="H63" s="7" t="str">
        <f>"000222"</f>
        <v>000222</v>
      </c>
      <c r="I63" s="6">
        <v>43372</v>
      </c>
      <c r="J63" s="7" t="str">
        <f>"000088"</f>
        <v>000088</v>
      </c>
      <c r="K63" s="6">
        <v>43372</v>
      </c>
      <c r="L63" s="7" t="str">
        <f>"000195"</f>
        <v>000195</v>
      </c>
      <c r="M63" s="6">
        <v>43372</v>
      </c>
      <c r="N63" s="7">
        <v>18</v>
      </c>
      <c r="O63" s="7" t="str">
        <f>"006671"</f>
        <v>006671</v>
      </c>
      <c r="P63" s="6">
        <v>43805</v>
      </c>
      <c r="Q63" s="9">
        <v>11.0989</v>
      </c>
      <c r="R63" s="9">
        <v>1.2564299999999999</v>
      </c>
      <c r="S63" s="9">
        <v>9.8424700000000005</v>
      </c>
      <c r="T63" s="7">
        <v>13</v>
      </c>
      <c r="U63" s="6">
        <v>43809</v>
      </c>
      <c r="V63" s="7">
        <v>9845678994</v>
      </c>
      <c r="W63" s="8" t="s">
        <v>216</v>
      </c>
      <c r="X63" s="7" t="s">
        <v>223</v>
      </c>
      <c r="Y63" s="8" t="s">
        <v>224</v>
      </c>
      <c r="Z63" s="7" t="s">
        <v>54</v>
      </c>
      <c r="AA63" s="8" t="s">
        <v>55</v>
      </c>
      <c r="AB63" s="9">
        <v>0.110989</v>
      </c>
    </row>
    <row r="64" spans="1:28" x14ac:dyDescent="0.35">
      <c r="A64" s="4">
        <v>4549</v>
      </c>
      <c r="B64" s="5" t="s">
        <v>213</v>
      </c>
      <c r="C64" s="6">
        <v>43820</v>
      </c>
      <c r="D64" s="4">
        <v>140</v>
      </c>
      <c r="E64" s="8" t="s">
        <v>57</v>
      </c>
      <c r="F64" s="7" t="s">
        <v>225</v>
      </c>
      <c r="G64" s="8" t="s">
        <v>226</v>
      </c>
      <c r="H64" s="7" t="str">
        <f>"000444"</f>
        <v>000444</v>
      </c>
      <c r="I64" s="6">
        <v>43490</v>
      </c>
      <c r="J64" s="7" t="str">
        <f>"000119"</f>
        <v>000119</v>
      </c>
      <c r="K64" s="6">
        <v>43803</v>
      </c>
      <c r="L64" s="7" t="str">
        <f>"000180"</f>
        <v>000180</v>
      </c>
      <c r="M64" s="6">
        <v>43803</v>
      </c>
      <c r="N64" s="7">
        <v>17</v>
      </c>
      <c r="O64" s="7" t="str">
        <f>"006912"</f>
        <v>006912</v>
      </c>
      <c r="P64" s="6">
        <v>43819</v>
      </c>
      <c r="Q64" s="9">
        <v>9.9933499999999995</v>
      </c>
      <c r="R64" s="9">
        <v>0.92520000000000002</v>
      </c>
      <c r="S64" s="9">
        <v>9.0681499999999993</v>
      </c>
      <c r="T64" s="7">
        <v>13</v>
      </c>
      <c r="U64" s="6">
        <v>43820</v>
      </c>
      <c r="V64" s="7">
        <v>9448535286</v>
      </c>
      <c r="W64" s="8" t="s">
        <v>49</v>
      </c>
      <c r="X64" s="7" t="s">
        <v>35</v>
      </c>
      <c r="Y64" s="8" t="s">
        <v>36</v>
      </c>
      <c r="Z64" s="7" t="s">
        <v>54</v>
      </c>
      <c r="AA64" s="8" t="s">
        <v>55</v>
      </c>
      <c r="AB64" s="9">
        <v>9.9933499999999995E-2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2020-01-30T06:44:54Z</dcterms:modified>
</cp:coreProperties>
</file>