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 l="1"/>
  <c r="L76" i="1"/>
  <c r="J76" i="1"/>
  <c r="H76" i="1"/>
  <c r="O75" i="1"/>
  <c r="L75" i="1"/>
  <c r="J75" i="1"/>
  <c r="H75" i="1"/>
  <c r="O74" i="1"/>
  <c r="L74" i="1"/>
  <c r="J74" i="1"/>
  <c r="H74" i="1"/>
  <c r="O73" i="1"/>
  <c r="L73" i="1"/>
  <c r="J73" i="1"/>
  <c r="H73" i="1"/>
  <c r="O72" i="1"/>
  <c r="L72" i="1"/>
  <c r="J72" i="1"/>
  <c r="H72" i="1"/>
  <c r="O71" i="1"/>
  <c r="L71" i="1"/>
  <c r="J71" i="1"/>
  <c r="H71" i="1"/>
  <c r="O70" i="1"/>
  <c r="L70" i="1"/>
  <c r="J70" i="1"/>
  <c r="H70" i="1"/>
  <c r="O69" i="1"/>
  <c r="L69" i="1"/>
  <c r="J69" i="1"/>
  <c r="H69" i="1"/>
  <c r="O68" i="1"/>
  <c r="L68" i="1"/>
  <c r="J68" i="1"/>
  <c r="H68" i="1"/>
  <c r="O67" i="1"/>
  <c r="L67" i="1"/>
  <c r="J67" i="1"/>
  <c r="H67" i="1"/>
  <c r="O66" i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<sst xmlns="http://schemas.openxmlformats.org/spreadsheetml/2006/main" count="703" uniqueCount="243">
  <si>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</si>
  <si>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</si>
  <si>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</si>
  <si>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</si>
  <si>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</si>
  <si>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</si>
  <si>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</si>
  <si>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</si>
  <si>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</si>
  <si>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</si>
  <si>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</si>
  <si>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</si>
  <si>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</si>
  <si>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</si>
  <si>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</si>
  <si>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</si>
  <si>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</si>
  <si>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</si>
  <si>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</si>
  <si>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</si>
  <si>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</si>
  <si>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</si>
  <si>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</si>
  <si>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</si>
  <si>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</si>
  <si>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</si>
  <si>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</si>
  <si>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</si>
  <si>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</si>
  <si>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</si>
  <si>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</si>
  <si>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</si>
  <si>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</si>
  <si>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</si>
  <si>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KRIDL</t>
  </si>
  <si>
    <t>ddo205</t>
  </si>
  <si>
    <t xml:space="preserve"> Assistant Executive Engineer Chamarajpet West Zone</t>
  </si>
  <si>
    <t>KRIDL (WEST)</t>
  </si>
  <si>
    <t>Azad Nagara</t>
  </si>
  <si>
    <t>141-17-000049</t>
  </si>
  <si>
    <t>Improvements drains at Adarshanagar cross roads in Ward No. 141</t>
  </si>
  <si>
    <t>K P Raveen</t>
  </si>
  <si>
    <t>141-17-000053</t>
  </si>
  <si>
    <t>COnstruction of drain 3rd cross in Azad nagar in Ward No. 141</t>
  </si>
  <si>
    <t>141-19-000010</t>
  </si>
  <si>
    <t>Providing C D works and water supply works to cross roads D Galli B slum V pura slums in ward no-141</t>
  </si>
  <si>
    <t>141-19-000011</t>
  </si>
  <si>
    <t>Restoration to drains and foothpath works from bunde slum in ward no-141</t>
  </si>
  <si>
    <t>141-19-000009</t>
  </si>
  <si>
    <t>Restoration CC roads and other development works from bande slum to D Galli slum in ward no-141</t>
  </si>
  <si>
    <t>141-19-000008</t>
  </si>
  <si>
    <t>Restoration to CC works drain and footpath in vinayakapura to bunde slum to mysore road in ward no-141</t>
  </si>
  <si>
    <t>July</t>
  </si>
  <si>
    <t>141-17-000055</t>
  </si>
  <si>
    <t>Repairs and Maintenance to Damaged Drains to Bande Slum in ward no 141</t>
  </si>
  <si>
    <t>Hemanth Kumar R</t>
  </si>
  <si>
    <t>P3166</t>
  </si>
  <si>
    <t>Special Development works in ward No.21, 24, 50, 54, 58, 59, 72, 78, 110, 141, 188 and 197 (Rs.200 Lakhs per ward)</t>
  </si>
  <si>
    <t>141-17-000060</t>
  </si>
  <si>
    <t>Desilting of drains at Vitalnagar 2nd Main and surrounding area in ward no 141</t>
  </si>
  <si>
    <t>Jayaraj R</t>
  </si>
  <si>
    <t>141-17-000056</t>
  </si>
  <si>
    <t>Improvements to Drains and Footpath at Bhaktha Markandaiah layout Eastern side in ward no 141</t>
  </si>
  <si>
    <t>hemanth kumar R</t>
  </si>
  <si>
    <t>141-17-000057</t>
  </si>
  <si>
    <t>Improvements to Drains and Footpath at Bhaktha Markandaiah layout Western n side in ward no 141</t>
  </si>
  <si>
    <t>141-17-000073</t>
  </si>
  <si>
    <t>Construction of CC Roads of Conservancy lanes at Azadnagar in ward no 141</t>
  </si>
  <si>
    <t xml:space="preserve">Hemanth Kumar R </t>
  </si>
  <si>
    <t>P3174</t>
  </si>
  <si>
    <t>Special development works in ward No. 188, 141, 169, 82, 58, (Rs.300 lakhs each ward)</t>
  </si>
  <si>
    <t>141-17-000079</t>
  </si>
  <si>
    <t>Repairs and Maintenance to Draiin and Footpath at BBMP PU College Kasturibanagara and surrounding area in ward no 141</t>
  </si>
  <si>
    <t>141-17-000077</t>
  </si>
  <si>
    <t>Repairs and maintenance to damaged Drains at Pipeline Masjid Road Ashwathappa Garden in ward no 141</t>
  </si>
  <si>
    <t>141-17-000058</t>
  </si>
  <si>
    <t>Improvements to Drains Bande Slum in ward no 141</t>
  </si>
  <si>
    <t>141-17-000068</t>
  </si>
  <si>
    <t>Repairs and maintenance to CC Road Behind Arundathi school at Valmiki nagar Mysore Road in ward no 141</t>
  </si>
  <si>
    <t>141-17-000080</t>
  </si>
  <si>
    <t>Repairs and Maintenance to Draiins damaged CC Roads from 4th to 6th main at Kasturibanagar in ward no 141</t>
  </si>
  <si>
    <t>141-17-000078</t>
  </si>
  <si>
    <t>Repairs and Maintenance to Existing Name Boards and Providing New Name Boards at Ward Jurisdiction in ward no 141</t>
  </si>
  <si>
    <t>141-17-000076</t>
  </si>
  <si>
    <t>Repairs and maintenance to damaged CC Roads at Pipeline Masjid Road Ashwathappa Garden in ward no 141</t>
  </si>
  <si>
    <t>Hemanth kumar R</t>
  </si>
  <si>
    <t>141-17-000110</t>
  </si>
  <si>
    <t>Improvements to CC Road and Drain in Valmiki Nagar 2nd main 7th cross in ward No. 141</t>
  </si>
  <si>
    <t>P3075</t>
  </si>
  <si>
    <t>Special comprehensive development works in Bangalore city (Bangalore city in charge Minister Discretionary Grants)</t>
  </si>
  <si>
    <t>141-17-000109</t>
  </si>
  <si>
    <t>Improvements to CC Road and Drain in Valmiki Nagar 2nd main 6th cross in ward No. 141</t>
  </si>
  <si>
    <t>141-17-000075</t>
  </si>
  <si>
    <t>Removal of Site and Debris and maintenance to Drains in Valmikinagar and surrounidng areas in ward no 141</t>
  </si>
  <si>
    <t>141-17-000108</t>
  </si>
  <si>
    <t>Improvements to CC Road and Drain in Valmiki Nagar 1st main 4th cross in ward No. 141</t>
  </si>
  <si>
    <t>141-17-000081</t>
  </si>
  <si>
    <t>Repairs and Maintenance to Draiins damaged CC Roads from 7th to 9th main at Kasturibanagar in ward no 141</t>
  </si>
  <si>
    <t>141-17-000082</t>
  </si>
  <si>
    <t>Repairs and Maintenance to damaged Drains and CC Roads in 2nd main 3rd cross Vitalnagar in ward no 141</t>
  </si>
  <si>
    <t>141-17-000037</t>
  </si>
  <si>
    <t>Emergency repairs and ward maintenance works to the year 2016-17 in Ward No. 141</t>
  </si>
  <si>
    <t>141-17-000041</t>
  </si>
  <si>
    <t>Providing asphalting to Azadnagar 2nd Main and Cross roads in Ward No. 141</t>
  </si>
  <si>
    <t>M.S.VENKATESH.</t>
  </si>
  <si>
    <t>141-17-000044</t>
  </si>
  <si>
    <t>Providing asphalting to roads at Rudrappa Garden and surrounding area in Ward No. 141</t>
  </si>
  <si>
    <t>141-16-000041</t>
  </si>
  <si>
    <t>Improvement CC roads and Drain in Kasturibanagar 8th and 9th main westernside in ward no 141</t>
  </si>
  <si>
    <t>P0190</t>
  </si>
  <si>
    <t>Works sanctioned by Hon Mayor</t>
  </si>
  <si>
    <t>141-16-000032</t>
  </si>
  <si>
    <t>Improvement to drain and CC road in Ashwathappa Garden, Kasturibanagar near Matha School road in ward no 141</t>
  </si>
  <si>
    <t>141-17-000071</t>
  </si>
  <si>
    <t>Construction of CC Roads at 6th 7 th and 8th Cross of Rudrappa Garden in ward no 141</t>
  </si>
  <si>
    <t>141-16-000044</t>
  </si>
  <si>
    <t>Improvements to Drain at Jinke Park road in ward no 141</t>
  </si>
  <si>
    <t>141-16-000043</t>
  </si>
  <si>
    <t>Improvements to CC roads and Drain at Jinke Park road in ward no 141</t>
  </si>
  <si>
    <t>141-17-000066</t>
  </si>
  <si>
    <t>Repairs and maintenance to damaged CC Roads at 2nd Main and 8th of Valmiki nagar cross in ward no 141</t>
  </si>
  <si>
    <t>141-16-000042</t>
  </si>
  <si>
    <t>Improvement CC roads and Drain in Kasturibanagar 8th and 9th main easternside in ward no 141</t>
  </si>
  <si>
    <t>141-17-000054</t>
  </si>
  <si>
    <t>Improvements to Drains and Roads at New Layout 9th cross VittalNagar West in ward no 141</t>
  </si>
  <si>
    <t>141-16-000039</t>
  </si>
  <si>
    <t>Improvement to Drain and CC road 3rd cross Vittalnagar in ward no 141</t>
  </si>
  <si>
    <t>141-17-000072</t>
  </si>
  <si>
    <t>Construction of Drains and CC Road at 3rd and 4th cross or Rudrappa Garden in ward no 141</t>
  </si>
  <si>
    <t>141-17-000111</t>
  </si>
  <si>
    <t>Improvements to CC Road and Drain in Valmiki Nagar 2nd main 8th cross in ward No. 141</t>
  </si>
  <si>
    <t>141-17-000074</t>
  </si>
  <si>
    <t>Construction of CC Roads and Footpath Development (Conservancy lanes ) at Adarshanagar and Vijaynagar layout surrounding areas in ward no 141</t>
  </si>
  <si>
    <t>141-14-000010</t>
  </si>
  <si>
    <t xml:space="preserve">Providing asphalting at Kasturibanagar 1st Main and 2nd Main and Pipeline road in Ward No. 141 </t>
  </si>
  <si>
    <t>R Chandru Aishwarya Infrastructre and developers</t>
  </si>
  <si>
    <t>141-13-000016</t>
  </si>
  <si>
    <t xml:space="preserve">Reasphalting to rudrappa garden main road in ward no. 141 azadnagar </t>
  </si>
  <si>
    <t xml:space="preserve">R Chandru (Aishwarya Infrastructre and development) </t>
  </si>
  <si>
    <t>141-14-000014</t>
  </si>
  <si>
    <t xml:space="preserve">Providing asphalting to Valmikinagar 2nd Main Road in Ward No. 141 </t>
  </si>
  <si>
    <t xml:space="preserve">R Chandru Aishwarya Infrastructre and developers </t>
  </si>
  <si>
    <t>141-13-000014</t>
  </si>
  <si>
    <t xml:space="preserve">Reasphalting to K.S. nagar 1st , 2nd and 3rd main road in ward no .141 </t>
  </si>
  <si>
    <t>R Chandru (Aishwarya Infrastructre and development)</t>
  </si>
  <si>
    <t>141-13-000015</t>
  </si>
  <si>
    <t xml:space="preserve">Reasphalting to road from Jinka park to sri sanimahtma temple in mullakantamma temple road in ward no . 141 </t>
  </si>
  <si>
    <t>141-15-000012</t>
  </si>
  <si>
    <t xml:space="preserve">Providing asphalting in Ward No. 141 Jurisdiction </t>
  </si>
  <si>
    <t>141-14-000011</t>
  </si>
  <si>
    <t xml:space="preserve">Providing asphalting to Rudrappa Garden Main Road in Ward No. 141 </t>
  </si>
  <si>
    <t>141-17-000043</t>
  </si>
  <si>
    <t>Providing asphalting to Kasturibanagar Part of 3rd Main in Ward No. 141</t>
  </si>
  <si>
    <t>141-16-000040</t>
  </si>
  <si>
    <t>Improvement CC roads and Drain in Kasturibanagar 3rd main westernside in ward no 141</t>
  </si>
  <si>
    <t>141-17-000065</t>
  </si>
  <si>
    <t>Repairs and Maintenance to damaged CC roads at 1st main and 2nd cross of Valmiki nagar in ward no 141</t>
  </si>
  <si>
    <t xml:space="preserve"> Jayaraj R</t>
  </si>
  <si>
    <t>141-17-000047</t>
  </si>
  <si>
    <t>Providing asphalting to Baktha Markandaiah Layout Main Road and Cross roads in Ward No. 141</t>
  </si>
  <si>
    <t>141-18-000014</t>
  </si>
  <si>
    <t>Repairs and maintenance to damage culverts and drain at 11th cross Valmikinagara to 3rd cross Vittalnagara LHS in ward 141</t>
  </si>
  <si>
    <t>KRIDL WEST</t>
  </si>
  <si>
    <t>August</t>
  </si>
  <si>
    <t>141-17-000070</t>
  </si>
  <si>
    <t>Construction of CC Roads at 10th and 11th main of Kasturibanagar in ward no 141</t>
  </si>
  <si>
    <t>HEMANTH KUMAR R</t>
  </si>
  <si>
    <t>September</t>
  </si>
  <si>
    <t>141-18-000089</t>
  </si>
  <si>
    <t>Development of CC roads in Nisar ahmed road 1st cross Ashwathkatte main road in Azadnagar in ward no-141</t>
  </si>
  <si>
    <t>141-19-000013</t>
  </si>
  <si>
    <t>Restoration to Culverts and other CC works at Vittalanagara 3rd cross in ward 141</t>
  </si>
  <si>
    <t>P3290</t>
  </si>
  <si>
    <t>14th Finance Commission Works - Providing Street Lights and Maintenance</t>
  </si>
  <si>
    <t>141-19-000024</t>
  </si>
  <si>
    <t>Improvements to secondary and territory drain 2nd cross Kasturbanagar and ward jurisdiction in ward 141</t>
  </si>
  <si>
    <t>P3297</t>
  </si>
  <si>
    <t>14th Finance Commission Grants - SWD Works</t>
  </si>
  <si>
    <t>October</t>
  </si>
  <si>
    <t>141-18-000041</t>
  </si>
  <si>
    <t>Filling Potholes to damaged roads at Azadnagar Valmikinagar and Vittalnagar in ward no 141</t>
  </si>
  <si>
    <t>P3261</t>
  </si>
  <si>
    <t>Zone Works Special Grants to Womens represented wards Rs.20.00 Lakhs per ward</t>
  </si>
  <si>
    <t>141-19-000021</t>
  </si>
  <si>
    <t>Road and footpath maintenance at Dancing colony in ward 141</t>
  </si>
  <si>
    <t>P3296</t>
  </si>
  <si>
    <t>14th Finance Commission Works - Road and Footpath Maintenance</t>
  </si>
  <si>
    <t>141-19-000014</t>
  </si>
  <si>
    <t>Maintenance of crematorium burrial ground and office maintenance in ward no 141</t>
  </si>
  <si>
    <t>P3291</t>
  </si>
  <si>
    <t>14th Fin -Maintenance of Cremotorium, Burial Grounds</t>
  </si>
  <si>
    <t>141-19-000015</t>
  </si>
  <si>
    <t>Community property maintenance including parks in ward 141</t>
  </si>
  <si>
    <t>P3292</t>
  </si>
  <si>
    <t>14th Finance Commission Works - Community Property Maintenance (including Parks)</t>
  </si>
  <si>
    <t>141-19-000012</t>
  </si>
  <si>
    <t>Improvements to Culverts and CC works at ward Jurisdiction in ward no 141</t>
  </si>
  <si>
    <t>141-19-000019</t>
  </si>
  <si>
    <t>General public Toilets and septage maintenance in ward 141</t>
  </si>
  <si>
    <t>P3294</t>
  </si>
  <si>
    <t>14th Finance Commission Works - General Public ToiletandSeptage Maintenance</t>
  </si>
  <si>
    <t>141-19-000023</t>
  </si>
  <si>
    <t>Desilting to secondary drain at Pipeline road and surrounding area in ward 141</t>
  </si>
  <si>
    <t>141-19-000016</t>
  </si>
  <si>
    <t>Restoration to CC roads at Kasturibanagar 2nd 3rd cross and Katte surrounding in ward 141</t>
  </si>
  <si>
    <t>141-19-000025</t>
  </si>
  <si>
    <t>Providing SWM works in ward no in ward 141</t>
  </si>
  <si>
    <t>P3298</t>
  </si>
  <si>
    <t>14th Finance Commission Works - SWM Works</t>
  </si>
  <si>
    <t>141-19-000020</t>
  </si>
  <si>
    <t>Improvements to UGD works at BMK Layout 6th 2nd 4th and surrounding areas in ward 141</t>
  </si>
  <si>
    <t>P3295</t>
  </si>
  <si>
    <t>14th Finance Commission Works - UGD Works</t>
  </si>
  <si>
    <t>141-19-000018</t>
  </si>
  <si>
    <t>Improvements to drinking water at Azadnagar Valmikinagar Vittal Nagar Rudrappa Garden BMK Layout Surrounding in ward 141</t>
  </si>
  <si>
    <t>P3293</t>
  </si>
  <si>
    <t>14th Finance Commission Works - Drinking Water</t>
  </si>
  <si>
    <t>141-19-000022</t>
  </si>
  <si>
    <t>Restoration to CC Road at Kasturbanagar Mulkattamma and Kalabairava temple road and surroundings in ward 141</t>
  </si>
  <si>
    <t>141-19-000017</t>
  </si>
  <si>
    <t>Improvements to drinking water at Kasturiba Nagar in ward 141</t>
  </si>
  <si>
    <t>November</t>
  </si>
  <si>
    <t>141-18-000080</t>
  </si>
  <si>
    <t xml:space="preserve">Sinking borewell and Water Supply lines at Valmikinagar 2nd Main 4th Cross in Ward No. 141 </t>
  </si>
  <si>
    <t>Yogitha S</t>
  </si>
  <si>
    <t>141-18-000081</t>
  </si>
  <si>
    <t xml:space="preserve">Sinking borewell and Water Supply lines in Ward Jurisdiction in Ward No. 141 </t>
  </si>
  <si>
    <t>Yogish Gowda</t>
  </si>
  <si>
    <t>December</t>
  </si>
  <si>
    <t>141-19-000004</t>
  </si>
  <si>
    <t>Restoration to drain footpath and CC road at Valmikinagar to BMK Layout in ward no 141</t>
  </si>
  <si>
    <t>P3111</t>
  </si>
  <si>
    <t>State Finance Commission Untied Grant Works</t>
  </si>
  <si>
    <t>141-19-000030</t>
  </si>
  <si>
    <t>Restoration to drain footpath and CC road at Bunde slum to Rudrappa garden in ward no 141</t>
  </si>
  <si>
    <t>P3409</t>
  </si>
  <si>
    <t>SFC Untied SC-SP/TSP Grant works</t>
  </si>
  <si>
    <t>141-19-000031</t>
  </si>
  <si>
    <t>Restoration to drain footpath and CC road at Bunde slum to VAlmikinagar in ward no 141</t>
  </si>
  <si>
    <t>141-19-000002</t>
  </si>
  <si>
    <t>Restoration to Pedestrian drain at Valmikinagar 2nd main road northern side in ward no 141</t>
  </si>
  <si>
    <t>141-19-000003</t>
  </si>
  <si>
    <t>Restoration to Pedestrian drain at Valmikinagar 2nd main road southern side in ward no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</si>
</sst>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tabSelected="1" workbookViewId="0">
      <selection activeCell="E5" sqref="E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4550</v>
      </c>
      <c r="B2" s="5" t="s">
        <v>28</v>
      </c>
      <c r="C2" s="6">
        <v>43580</v>
      </c>
      <c r="D2" s="7">
        <v>141</v>
      </c>
      <c r="E2" s="8" t="s">
        <v>38</v>
      </c>
      <c r="F2" s="7" t="s">
        <v>39</v>
      </c>
      <c r="G2" s="8" t="s">
        <v>40</v>
      </c>
      <c r="H2" s="7" t="str">
        <f>"000008"</f>
        <v>000008</v>
      </c>
      <c r="I2" s="6">
        <v>42875</v>
      </c>
      <c r="J2" s="7" t="str">
        <f>"000068"</f>
        <v>000068</v>
      </c>
      <c r="K2" s="6">
        <v>42916</v>
      </c>
      <c r="L2" s="7" t="str">
        <f>"000270"</f>
        <v>000270</v>
      </c>
      <c r="M2" s="6">
        <v>42916</v>
      </c>
      <c r="N2" s="7">
        <v>17</v>
      </c>
      <c r="O2" s="7" t="str">
        <f>"000741"</f>
        <v>000741</v>
      </c>
      <c r="P2" s="6">
        <v>43578</v>
      </c>
      <c r="Q2" s="9">
        <v>9.6510300000000004</v>
      </c>
      <c r="R2" s="9">
        <v>1.1967099999999999</v>
      </c>
      <c r="S2" s="9">
        <v>8.4543199999999992</v>
      </c>
      <c r="T2" s="7">
        <v>28</v>
      </c>
      <c r="U2" s="6">
        <v>43580</v>
      </c>
      <c r="V2" s="7">
        <v>9845769939</v>
      </c>
      <c r="W2" s="8" t="s">
        <v>41</v>
      </c>
      <c r="X2" s="7" t="s">
        <v>29</v>
      </c>
      <c r="Y2" s="8" t="s">
        <v>30</v>
      </c>
      <c r="Z2" s="7" t="s">
        <v>35</v>
      </c>
      <c r="AA2" s="8" t="s">
        <v>36</v>
      </c>
      <c r="AB2" s="9">
        <f t="shared" ref="AB2:AB56" si="0">Q2/100</f>
        <v>9.6510300000000007E-2</v>
      </c>
    </row>
    <row r="3" spans="1:28" x14ac:dyDescent="0.35">
      <c r="A3" s="4">
        <v>4551</v>
      </c>
      <c r="B3" s="5" t="s">
        <v>28</v>
      </c>
      <c r="C3" s="6">
        <v>43580</v>
      </c>
      <c r="D3" s="7">
        <v>141</v>
      </c>
      <c r="E3" s="8" t="s">
        <v>38</v>
      </c>
      <c r="F3" s="7" t="s">
        <v>42</v>
      </c>
      <c r="G3" s="8" t="s">
        <v>43</v>
      </c>
      <c r="H3" s="7" t="str">
        <f>"000007"</f>
        <v>000007</v>
      </c>
      <c r="I3" s="6">
        <v>42875</v>
      </c>
      <c r="J3" s="7" t="str">
        <f>"000067"</f>
        <v>000067</v>
      </c>
      <c r="K3" s="6">
        <v>42916</v>
      </c>
      <c r="L3" s="7" t="str">
        <f>"000271"</f>
        <v>000271</v>
      </c>
      <c r="M3" s="6">
        <v>42916</v>
      </c>
      <c r="N3" s="7">
        <v>17</v>
      </c>
      <c r="O3" s="7" t="str">
        <f>"000742"</f>
        <v>000742</v>
      </c>
      <c r="P3" s="6">
        <v>43578</v>
      </c>
      <c r="Q3" s="9">
        <v>14.502330000000001</v>
      </c>
      <c r="R3" s="9">
        <v>1.8678399999999999</v>
      </c>
      <c r="S3" s="9">
        <v>12.63449</v>
      </c>
      <c r="T3" s="7">
        <v>28</v>
      </c>
      <c r="U3" s="6">
        <v>43580</v>
      </c>
      <c r="V3" s="7">
        <v>9845769939</v>
      </c>
      <c r="W3" s="8" t="s">
        <v>41</v>
      </c>
      <c r="X3" s="7" t="s">
        <v>29</v>
      </c>
      <c r="Y3" s="8" t="s">
        <v>30</v>
      </c>
      <c r="Z3" s="7" t="s">
        <v>35</v>
      </c>
      <c r="AA3" s="8" t="s">
        <v>36</v>
      </c>
      <c r="AB3" s="9">
        <f t="shared" si="0"/>
        <v>0.14502329999999999</v>
      </c>
    </row>
    <row r="4" spans="1:28" x14ac:dyDescent="0.35">
      <c r="A4" s="4">
        <v>4552</v>
      </c>
      <c r="B4" s="5" t="s">
        <v>31</v>
      </c>
      <c r="C4" s="6">
        <v>43601</v>
      </c>
      <c r="D4" s="7">
        <v>141</v>
      </c>
      <c r="E4" s="8" t="s">
        <v>38</v>
      </c>
      <c r="F4" s="7" t="s">
        <v>44</v>
      </c>
      <c r="G4" s="8" t="s">
        <v>45</v>
      </c>
      <c r="H4" s="7" t="str">
        <f>"000249"</f>
        <v>000249</v>
      </c>
      <c r="I4" s="6">
        <v>43386</v>
      </c>
      <c r="J4" s="7" t="str">
        <f>"000160"</f>
        <v>000160</v>
      </c>
      <c r="K4" s="6">
        <v>43464</v>
      </c>
      <c r="L4" s="7" t="str">
        <f>"000298"</f>
        <v>000298</v>
      </c>
      <c r="M4" s="6">
        <v>43464</v>
      </c>
      <c r="N4" s="7">
        <v>19</v>
      </c>
      <c r="O4" s="7" t="str">
        <f>"001445"</f>
        <v>001445</v>
      </c>
      <c r="P4" s="6">
        <v>43598</v>
      </c>
      <c r="Q4" s="9">
        <v>24.994420000000002</v>
      </c>
      <c r="R4" s="9">
        <v>2.9993300000000001</v>
      </c>
      <c r="S4" s="9">
        <v>21.995090000000001</v>
      </c>
      <c r="T4" s="7">
        <v>48</v>
      </c>
      <c r="U4" s="6">
        <v>43601</v>
      </c>
      <c r="V4" s="7">
        <v>9886882030</v>
      </c>
      <c r="W4" s="8" t="s">
        <v>37</v>
      </c>
      <c r="X4" s="7" t="s">
        <v>32</v>
      </c>
      <c r="Y4" s="8" t="s">
        <v>33</v>
      </c>
      <c r="Z4" s="7" t="s">
        <v>35</v>
      </c>
      <c r="AA4" s="8" t="s">
        <v>36</v>
      </c>
      <c r="AB4" s="9">
        <f t="shared" si="0"/>
        <v>0.24994420000000001</v>
      </c>
    </row>
    <row r="5" spans="1:28" x14ac:dyDescent="0.35">
      <c r="A5" s="4">
        <v>4553</v>
      </c>
      <c r="B5" s="5" t="s">
        <v>31</v>
      </c>
      <c r="C5" s="6">
        <v>43601</v>
      </c>
      <c r="D5" s="7">
        <v>141</v>
      </c>
      <c r="E5" s="8" t="s">
        <v>38</v>
      </c>
      <c r="F5" s="7" t="s">
        <v>46</v>
      </c>
      <c r="G5" s="8" t="s">
        <v>47</v>
      </c>
      <c r="H5" s="7" t="str">
        <f>"000250"</f>
        <v>000250</v>
      </c>
      <c r="I5" s="6">
        <v>43386</v>
      </c>
      <c r="J5" s="7" t="str">
        <f>"000156"</f>
        <v>000156</v>
      </c>
      <c r="K5" s="6">
        <v>43464</v>
      </c>
      <c r="L5" s="7" t="str">
        <f>"000296"</f>
        <v>000296</v>
      </c>
      <c r="M5" s="6">
        <v>43464</v>
      </c>
      <c r="N5" s="7">
        <v>19</v>
      </c>
      <c r="O5" s="7" t="str">
        <f>"001446"</f>
        <v>001446</v>
      </c>
      <c r="P5" s="6">
        <v>43598</v>
      </c>
      <c r="Q5" s="9">
        <v>24.998539999999998</v>
      </c>
      <c r="R5" s="9">
        <v>2.9998300000000002</v>
      </c>
      <c r="S5" s="9">
        <v>21.998709999999999</v>
      </c>
      <c r="T5" s="7">
        <v>48</v>
      </c>
      <c r="U5" s="6">
        <v>43601</v>
      </c>
      <c r="V5" s="7">
        <v>9886882030</v>
      </c>
      <c r="W5" s="8" t="s">
        <v>37</v>
      </c>
      <c r="X5" s="7" t="s">
        <v>32</v>
      </c>
      <c r="Y5" s="8" t="s">
        <v>33</v>
      </c>
      <c r="Z5" s="7" t="s">
        <v>35</v>
      </c>
      <c r="AA5" s="8" t="s">
        <v>36</v>
      </c>
      <c r="AB5" s="9">
        <f t="shared" si="0"/>
        <v>0.2499854</v>
      </c>
    </row>
    <row r="6" spans="1:28" x14ac:dyDescent="0.35">
      <c r="A6" s="4">
        <v>4554</v>
      </c>
      <c r="B6" s="5" t="s">
        <v>31</v>
      </c>
      <c r="C6" s="6">
        <v>43601</v>
      </c>
      <c r="D6" s="7">
        <v>141</v>
      </c>
      <c r="E6" s="8" t="s">
        <v>38</v>
      </c>
      <c r="F6" s="7" t="s">
        <v>48</v>
      </c>
      <c r="G6" s="8" t="s">
        <v>49</v>
      </c>
      <c r="H6" s="7" t="str">
        <f>"000252"</f>
        <v>000252</v>
      </c>
      <c r="I6" s="6">
        <v>43386</v>
      </c>
      <c r="J6" s="7" t="str">
        <f>"000155"</f>
        <v>000155</v>
      </c>
      <c r="K6" s="6">
        <v>43464</v>
      </c>
      <c r="L6" s="7" t="str">
        <f>"000295"</f>
        <v>000295</v>
      </c>
      <c r="M6" s="6">
        <v>43464</v>
      </c>
      <c r="N6" s="7">
        <v>19</v>
      </c>
      <c r="O6" s="7" t="str">
        <f>"001447"</f>
        <v>001447</v>
      </c>
      <c r="P6" s="6">
        <v>43598</v>
      </c>
      <c r="Q6" s="9">
        <v>24.997299999999999</v>
      </c>
      <c r="R6" s="9">
        <v>2.9996800000000001</v>
      </c>
      <c r="S6" s="9">
        <v>21.997620000000001</v>
      </c>
      <c r="T6" s="7">
        <v>48</v>
      </c>
      <c r="U6" s="6">
        <v>43601</v>
      </c>
      <c r="V6" s="7">
        <v>9886882090</v>
      </c>
      <c r="W6" s="8" t="s">
        <v>37</v>
      </c>
      <c r="X6" s="7" t="s">
        <v>32</v>
      </c>
      <c r="Y6" s="8" t="s">
        <v>33</v>
      </c>
      <c r="Z6" s="7" t="s">
        <v>35</v>
      </c>
      <c r="AA6" s="8" t="s">
        <v>36</v>
      </c>
      <c r="AB6" s="9">
        <f t="shared" si="0"/>
        <v>0.249973</v>
      </c>
    </row>
    <row r="7" spans="1:28" x14ac:dyDescent="0.35">
      <c r="A7" s="4">
        <v>4555</v>
      </c>
      <c r="B7" s="5" t="s">
        <v>31</v>
      </c>
      <c r="C7" s="6">
        <v>43601</v>
      </c>
      <c r="D7" s="7">
        <v>141</v>
      </c>
      <c r="E7" s="8" t="s">
        <v>38</v>
      </c>
      <c r="F7" s="7" t="s">
        <v>50</v>
      </c>
      <c r="G7" s="8" t="s">
        <v>51</v>
      </c>
      <c r="H7" s="7" t="str">
        <f>"000251"</f>
        <v>000251</v>
      </c>
      <c r="I7" s="6">
        <v>43386</v>
      </c>
      <c r="J7" s="7" t="str">
        <f>"000141"</f>
        <v>000141</v>
      </c>
      <c r="K7" s="6">
        <v>43464</v>
      </c>
      <c r="L7" s="7" t="str">
        <f>"000281"</f>
        <v>000281</v>
      </c>
      <c r="M7" s="6">
        <v>43464</v>
      </c>
      <c r="N7" s="7">
        <v>19</v>
      </c>
      <c r="O7" s="7" t="str">
        <f>"001448"</f>
        <v>001448</v>
      </c>
      <c r="P7" s="6">
        <v>43598</v>
      </c>
      <c r="Q7" s="9">
        <v>24.99455</v>
      </c>
      <c r="R7" s="9">
        <v>2.9993500000000002</v>
      </c>
      <c r="S7" s="9">
        <v>21.995200000000001</v>
      </c>
      <c r="T7" s="7">
        <v>48</v>
      </c>
      <c r="U7" s="6">
        <v>43601</v>
      </c>
      <c r="V7" s="7">
        <v>9886882030</v>
      </c>
      <c r="W7" s="8" t="s">
        <v>34</v>
      </c>
      <c r="X7" s="7" t="s">
        <v>32</v>
      </c>
      <c r="Y7" s="8" t="s">
        <v>33</v>
      </c>
      <c r="Z7" s="7" t="s">
        <v>35</v>
      </c>
      <c r="AA7" s="8" t="s">
        <v>36</v>
      </c>
      <c r="AB7" s="9">
        <f t="shared" si="0"/>
        <v>0.24994550000000001</v>
      </c>
    </row>
    <row r="8" spans="1:28" x14ac:dyDescent="0.35">
      <c r="A8" s="4">
        <v>4556</v>
      </c>
      <c r="B8" s="5" t="s">
        <v>52</v>
      </c>
      <c r="C8" s="6">
        <v>43647</v>
      </c>
      <c r="D8" s="7">
        <v>141</v>
      </c>
      <c r="E8" s="8" t="s">
        <v>38</v>
      </c>
      <c r="F8" s="7" t="s">
        <v>53</v>
      </c>
      <c r="G8" s="10" t="s">
        <v>54</v>
      </c>
      <c r="H8" s="7" t="str">
        <f>"000107"</f>
        <v>000107</v>
      </c>
      <c r="I8" s="6">
        <v>43117</v>
      </c>
      <c r="J8" s="7" t="str">
        <f>"000051"</f>
        <v>000051</v>
      </c>
      <c r="K8" s="6">
        <v>43117</v>
      </c>
      <c r="L8" s="7" t="str">
        <f>"000090"</f>
        <v>000090</v>
      </c>
      <c r="M8" s="6">
        <v>43117</v>
      </c>
      <c r="N8" s="7">
        <v>17</v>
      </c>
      <c r="O8" s="7" t="str">
        <f>"003046"</f>
        <v>003046</v>
      </c>
      <c r="P8" s="6">
        <v>43640</v>
      </c>
      <c r="Q8" s="11">
        <v>8.8498400000000004</v>
      </c>
      <c r="R8" s="11">
        <v>0.91154000000000002</v>
      </c>
      <c r="S8" s="11">
        <v>7.9382999999999999</v>
      </c>
      <c r="T8" s="7">
        <v>96</v>
      </c>
      <c r="U8" s="6">
        <v>43647</v>
      </c>
      <c r="V8" s="7">
        <v>9916950205</v>
      </c>
      <c r="W8" s="10" t="s">
        <v>55</v>
      </c>
      <c r="X8" s="7" t="s">
        <v>56</v>
      </c>
      <c r="Y8" s="10" t="s">
        <v>57</v>
      </c>
      <c r="Z8" s="7" t="s">
        <v>35</v>
      </c>
      <c r="AA8" s="10" t="s">
        <v>36</v>
      </c>
      <c r="AB8" s="11">
        <f t="shared" si="0"/>
        <v>8.8498400000000005E-2</v>
      </c>
    </row>
    <row r="9" spans="1:28" x14ac:dyDescent="0.35">
      <c r="A9" s="4">
        <v>4557</v>
      </c>
      <c r="B9" s="5" t="s">
        <v>52</v>
      </c>
      <c r="C9" s="6">
        <v>43647</v>
      </c>
      <c r="D9" s="7">
        <v>141</v>
      </c>
      <c r="E9" s="8" t="s">
        <v>38</v>
      </c>
      <c r="F9" s="7" t="s">
        <v>58</v>
      </c>
      <c r="G9" s="10" t="s">
        <v>59</v>
      </c>
      <c r="H9" s="7" t="str">
        <f>"000106"</f>
        <v>000106</v>
      </c>
      <c r="I9" s="6">
        <v>43117</v>
      </c>
      <c r="J9" s="7" t="str">
        <f>"000050"</f>
        <v>000050</v>
      </c>
      <c r="K9" s="6">
        <v>43117</v>
      </c>
      <c r="L9" s="7" t="str">
        <f>"000091"</f>
        <v>000091</v>
      </c>
      <c r="M9" s="6">
        <v>43117</v>
      </c>
      <c r="N9" s="7">
        <v>17</v>
      </c>
      <c r="O9" s="7" t="str">
        <f>"003047"</f>
        <v>003047</v>
      </c>
      <c r="P9" s="6">
        <v>43640</v>
      </c>
      <c r="Q9" s="11">
        <v>5.2463100000000003</v>
      </c>
      <c r="R9" s="11">
        <v>0.54035999999999995</v>
      </c>
      <c r="S9" s="11">
        <v>4.7059499999999996</v>
      </c>
      <c r="T9" s="7">
        <v>96</v>
      </c>
      <c r="U9" s="6">
        <v>43647</v>
      </c>
      <c r="V9" s="7">
        <v>9916950205</v>
      </c>
      <c r="W9" s="10" t="s">
        <v>60</v>
      </c>
      <c r="X9" s="7" t="s">
        <v>56</v>
      </c>
      <c r="Y9" s="10" t="s">
        <v>57</v>
      </c>
      <c r="Z9" s="7" t="s">
        <v>35</v>
      </c>
      <c r="AA9" s="10" t="s">
        <v>36</v>
      </c>
      <c r="AB9" s="11">
        <f t="shared" si="0"/>
        <v>5.2463100000000006E-2</v>
      </c>
    </row>
    <row r="10" spans="1:28" x14ac:dyDescent="0.35">
      <c r="A10" s="4">
        <v>4558</v>
      </c>
      <c r="B10" s="5" t="s">
        <v>52</v>
      </c>
      <c r="C10" s="6">
        <v>43647</v>
      </c>
      <c r="D10" s="7">
        <v>141</v>
      </c>
      <c r="E10" s="8" t="s">
        <v>38</v>
      </c>
      <c r="F10" s="7" t="s">
        <v>61</v>
      </c>
      <c r="G10" s="10" t="s">
        <v>62</v>
      </c>
      <c r="H10" s="7" t="str">
        <f>"000100"</f>
        <v>000100</v>
      </c>
      <c r="I10" s="6">
        <v>43117</v>
      </c>
      <c r="J10" s="7" t="str">
        <f>"000045"</f>
        <v>000045</v>
      </c>
      <c r="K10" s="6">
        <v>43117</v>
      </c>
      <c r="L10" s="7" t="str">
        <f>"000092"</f>
        <v>000092</v>
      </c>
      <c r="M10" s="6">
        <v>43117</v>
      </c>
      <c r="N10" s="7">
        <v>17</v>
      </c>
      <c r="O10" s="7" t="str">
        <f>"003048"</f>
        <v>003048</v>
      </c>
      <c r="P10" s="6">
        <v>43640</v>
      </c>
      <c r="Q10" s="11">
        <v>15.74146</v>
      </c>
      <c r="R10" s="11">
        <v>1.7000599999999999</v>
      </c>
      <c r="S10" s="11">
        <v>14.041399999999999</v>
      </c>
      <c r="T10" s="7">
        <v>96</v>
      </c>
      <c r="U10" s="6">
        <v>43647</v>
      </c>
      <c r="V10" s="7">
        <v>9916950205</v>
      </c>
      <c r="W10" s="10" t="s">
        <v>63</v>
      </c>
      <c r="X10" s="7" t="s">
        <v>56</v>
      </c>
      <c r="Y10" s="10" t="s">
        <v>57</v>
      </c>
      <c r="Z10" s="7" t="s">
        <v>35</v>
      </c>
      <c r="AA10" s="10" t="s">
        <v>36</v>
      </c>
      <c r="AB10" s="11">
        <f t="shared" si="0"/>
        <v>0.15741459999999999</v>
      </c>
    </row>
    <row r="11" spans="1:28" x14ac:dyDescent="0.35">
      <c r="A11" s="4">
        <v>4559</v>
      </c>
      <c r="B11" s="5" t="s">
        <v>52</v>
      </c>
      <c r="C11" s="6">
        <v>43647</v>
      </c>
      <c r="D11" s="7">
        <v>141</v>
      </c>
      <c r="E11" s="8" t="s">
        <v>38</v>
      </c>
      <c r="F11" s="7" t="s">
        <v>64</v>
      </c>
      <c r="G11" s="10" t="s">
        <v>65</v>
      </c>
      <c r="H11" s="7" t="str">
        <f>"000099"</f>
        <v>000099</v>
      </c>
      <c r="I11" s="6">
        <v>43117</v>
      </c>
      <c r="J11" s="7" t="str">
        <f>"000044"</f>
        <v>000044</v>
      </c>
      <c r="K11" s="6">
        <v>43117</v>
      </c>
      <c r="L11" s="7" t="str">
        <f>"000093"</f>
        <v>000093</v>
      </c>
      <c r="M11" s="6">
        <v>43117</v>
      </c>
      <c r="N11" s="7">
        <v>17</v>
      </c>
      <c r="O11" s="7" t="str">
        <f>"003049"</f>
        <v>003049</v>
      </c>
      <c r="P11" s="6">
        <v>43640</v>
      </c>
      <c r="Q11" s="11">
        <v>15.74461</v>
      </c>
      <c r="R11" s="11">
        <v>1.7004300000000001</v>
      </c>
      <c r="S11" s="11">
        <v>14.044180000000001</v>
      </c>
      <c r="T11" s="7">
        <v>96</v>
      </c>
      <c r="U11" s="6">
        <v>43647</v>
      </c>
      <c r="V11" s="7">
        <v>9916950205</v>
      </c>
      <c r="W11" s="10" t="s">
        <v>55</v>
      </c>
      <c r="X11" s="7" t="s">
        <v>56</v>
      </c>
      <c r="Y11" s="10" t="s">
        <v>57</v>
      </c>
      <c r="Z11" s="7" t="s">
        <v>35</v>
      </c>
      <c r="AA11" s="10" t="s">
        <v>36</v>
      </c>
      <c r="AB11" s="11">
        <f t="shared" si="0"/>
        <v>0.15744610000000001</v>
      </c>
    </row>
    <row r="12" spans="1:28" x14ac:dyDescent="0.35">
      <c r="A12" s="4">
        <v>4560</v>
      </c>
      <c r="B12" s="5" t="s">
        <v>52</v>
      </c>
      <c r="C12" s="6">
        <v>43647</v>
      </c>
      <c r="D12" s="7">
        <v>141</v>
      </c>
      <c r="E12" s="8" t="s">
        <v>38</v>
      </c>
      <c r="F12" s="7" t="s">
        <v>66</v>
      </c>
      <c r="G12" s="10" t="s">
        <v>67</v>
      </c>
      <c r="H12" s="7" t="str">
        <f>"000101"</f>
        <v>000101</v>
      </c>
      <c r="I12" s="6">
        <v>43117</v>
      </c>
      <c r="J12" s="7" t="str">
        <f>"000046"</f>
        <v>000046</v>
      </c>
      <c r="K12" s="6">
        <v>43117</v>
      </c>
      <c r="L12" s="7" t="str">
        <f>"000095"</f>
        <v>000095</v>
      </c>
      <c r="M12" s="6">
        <v>43117</v>
      </c>
      <c r="N12" s="7">
        <v>17</v>
      </c>
      <c r="O12" s="7" t="str">
        <f>"003050"</f>
        <v>003050</v>
      </c>
      <c r="P12" s="6">
        <v>43640</v>
      </c>
      <c r="Q12" s="11">
        <v>20.989190000000001</v>
      </c>
      <c r="R12" s="11">
        <v>2.3717700000000002</v>
      </c>
      <c r="S12" s="11">
        <v>18.617419999999999</v>
      </c>
      <c r="T12" s="7">
        <v>96</v>
      </c>
      <c r="U12" s="6">
        <v>43647</v>
      </c>
      <c r="V12" s="7">
        <v>9916950205</v>
      </c>
      <c r="W12" s="10" t="s">
        <v>68</v>
      </c>
      <c r="X12" s="7" t="s">
        <v>69</v>
      </c>
      <c r="Y12" s="10" t="s">
        <v>70</v>
      </c>
      <c r="Z12" s="7" t="s">
        <v>35</v>
      </c>
      <c r="AA12" s="10" t="s">
        <v>36</v>
      </c>
      <c r="AB12" s="11">
        <f t="shared" si="0"/>
        <v>0.20989190000000002</v>
      </c>
    </row>
    <row r="13" spans="1:28" x14ac:dyDescent="0.35">
      <c r="A13" s="4">
        <v>4561</v>
      </c>
      <c r="B13" s="5" t="s">
        <v>52</v>
      </c>
      <c r="C13" s="6">
        <v>43647</v>
      </c>
      <c r="D13" s="7">
        <v>141</v>
      </c>
      <c r="E13" s="8" t="s">
        <v>38</v>
      </c>
      <c r="F13" s="7" t="s">
        <v>71</v>
      </c>
      <c r="G13" s="10" t="s">
        <v>72</v>
      </c>
      <c r="H13" s="7" t="str">
        <f>"000102"</f>
        <v>000102</v>
      </c>
      <c r="I13" s="6">
        <v>43117</v>
      </c>
      <c r="J13" s="7" t="str">
        <f>"000047"</f>
        <v>000047</v>
      </c>
      <c r="K13" s="6">
        <v>43117</v>
      </c>
      <c r="L13" s="7" t="str">
        <f>"000096"</f>
        <v>000096</v>
      </c>
      <c r="M13" s="6">
        <v>43117</v>
      </c>
      <c r="N13" s="7">
        <v>17</v>
      </c>
      <c r="O13" s="7" t="str">
        <f>"003051"</f>
        <v>003051</v>
      </c>
      <c r="P13" s="6">
        <v>43640</v>
      </c>
      <c r="Q13" s="11">
        <v>20.992650000000001</v>
      </c>
      <c r="R13" s="11">
        <v>2.3721800000000002</v>
      </c>
      <c r="S13" s="11">
        <v>18.620470000000001</v>
      </c>
      <c r="T13" s="7">
        <v>96</v>
      </c>
      <c r="U13" s="6">
        <v>43647</v>
      </c>
      <c r="V13" s="7">
        <v>9916950205</v>
      </c>
      <c r="W13" s="10" t="s">
        <v>55</v>
      </c>
      <c r="X13" s="7" t="s">
        <v>69</v>
      </c>
      <c r="Y13" s="10" t="s">
        <v>70</v>
      </c>
      <c r="Z13" s="7" t="s">
        <v>35</v>
      </c>
      <c r="AA13" s="10" t="s">
        <v>36</v>
      </c>
      <c r="AB13" s="11">
        <f t="shared" si="0"/>
        <v>0.20992650000000002</v>
      </c>
    </row>
    <row r="14" spans="1:28" x14ac:dyDescent="0.35">
      <c r="A14" s="4">
        <v>4562</v>
      </c>
      <c r="B14" s="5" t="s">
        <v>52</v>
      </c>
      <c r="C14" s="6">
        <v>43647</v>
      </c>
      <c r="D14" s="7">
        <v>141</v>
      </c>
      <c r="E14" s="8" t="s">
        <v>38</v>
      </c>
      <c r="F14" s="7" t="s">
        <v>73</v>
      </c>
      <c r="G14" s="10" t="s">
        <v>74</v>
      </c>
      <c r="H14" s="7" t="str">
        <f>"000103"</f>
        <v>000103</v>
      </c>
      <c r="I14" s="6">
        <v>43117</v>
      </c>
      <c r="J14" s="7" t="str">
        <f>"000052"</f>
        <v>000052</v>
      </c>
      <c r="K14" s="6">
        <v>43117</v>
      </c>
      <c r="L14" s="7" t="str">
        <f>"000097"</f>
        <v>000097</v>
      </c>
      <c r="M14" s="6">
        <v>43117</v>
      </c>
      <c r="N14" s="7">
        <v>17</v>
      </c>
      <c r="O14" s="7" t="str">
        <f>"003052"</f>
        <v>003052</v>
      </c>
      <c r="P14" s="6">
        <v>43640</v>
      </c>
      <c r="Q14" s="11">
        <v>15.742800000000001</v>
      </c>
      <c r="R14" s="11">
        <v>1.7002299999999999</v>
      </c>
      <c r="S14" s="11">
        <v>14.04257</v>
      </c>
      <c r="T14" s="7">
        <v>96</v>
      </c>
      <c r="U14" s="6">
        <v>43647</v>
      </c>
      <c r="V14" s="7">
        <v>9916950205</v>
      </c>
      <c r="W14" s="10" t="s">
        <v>55</v>
      </c>
      <c r="X14" s="7" t="s">
        <v>69</v>
      </c>
      <c r="Y14" s="10" t="s">
        <v>70</v>
      </c>
      <c r="Z14" s="7" t="s">
        <v>35</v>
      </c>
      <c r="AA14" s="10" t="s">
        <v>36</v>
      </c>
      <c r="AB14" s="11">
        <f t="shared" si="0"/>
        <v>0.15742800000000001</v>
      </c>
    </row>
    <row r="15" spans="1:28" x14ac:dyDescent="0.35">
      <c r="A15" s="4">
        <v>4563</v>
      </c>
      <c r="B15" s="5" t="s">
        <v>52</v>
      </c>
      <c r="C15" s="6">
        <v>43647</v>
      </c>
      <c r="D15" s="7">
        <v>141</v>
      </c>
      <c r="E15" s="8" t="s">
        <v>38</v>
      </c>
      <c r="F15" s="7" t="s">
        <v>75</v>
      </c>
      <c r="G15" s="10" t="s">
        <v>76</v>
      </c>
      <c r="H15" s="7" t="str">
        <f>"000098"</f>
        <v>000098</v>
      </c>
      <c r="I15" s="6">
        <v>43117</v>
      </c>
      <c r="J15" s="7" t="str">
        <f>"000041"</f>
        <v>000041</v>
      </c>
      <c r="K15" s="6">
        <v>43117</v>
      </c>
      <c r="L15" s="7" t="str">
        <f>"000098"</f>
        <v>000098</v>
      </c>
      <c r="M15" s="6">
        <v>43117</v>
      </c>
      <c r="N15" s="7">
        <v>17</v>
      </c>
      <c r="O15" s="7" t="str">
        <f>"003053"</f>
        <v>003053</v>
      </c>
      <c r="P15" s="6">
        <v>43640</v>
      </c>
      <c r="Q15" s="11">
        <v>5.2431400000000004</v>
      </c>
      <c r="R15" s="11">
        <v>0.54003000000000001</v>
      </c>
      <c r="S15" s="11">
        <v>4.7031099999999997</v>
      </c>
      <c r="T15" s="7">
        <v>96</v>
      </c>
      <c r="U15" s="6">
        <v>43647</v>
      </c>
      <c r="V15" s="7">
        <v>9916950205</v>
      </c>
      <c r="W15" s="10" t="s">
        <v>60</v>
      </c>
      <c r="X15" s="7" t="s">
        <v>56</v>
      </c>
      <c r="Y15" s="10" t="s">
        <v>57</v>
      </c>
      <c r="Z15" s="7" t="s">
        <v>35</v>
      </c>
      <c r="AA15" s="10" t="s">
        <v>36</v>
      </c>
      <c r="AB15" s="11">
        <f t="shared" si="0"/>
        <v>5.2431400000000003E-2</v>
      </c>
    </row>
    <row r="16" spans="1:28" x14ac:dyDescent="0.35">
      <c r="A16" s="4">
        <v>4564</v>
      </c>
      <c r="B16" s="5" t="s">
        <v>52</v>
      </c>
      <c r="C16" s="6">
        <v>43647</v>
      </c>
      <c r="D16" s="7">
        <v>141</v>
      </c>
      <c r="E16" s="8" t="s">
        <v>38</v>
      </c>
      <c r="F16" s="7" t="s">
        <v>77</v>
      </c>
      <c r="G16" s="10" t="s">
        <v>78</v>
      </c>
      <c r="H16" s="7" t="str">
        <f>"000105"</f>
        <v>000105</v>
      </c>
      <c r="I16" s="6">
        <v>43117</v>
      </c>
      <c r="J16" s="7" t="str">
        <f>"000048"</f>
        <v>000048</v>
      </c>
      <c r="K16" s="6">
        <v>43117</v>
      </c>
      <c r="L16" s="7" t="str">
        <f>"000099"</f>
        <v>000099</v>
      </c>
      <c r="M16" s="6">
        <v>43117</v>
      </c>
      <c r="N16" s="7">
        <v>17</v>
      </c>
      <c r="O16" s="7" t="str">
        <f>"003054"</f>
        <v>003054</v>
      </c>
      <c r="P16" s="6">
        <v>43640</v>
      </c>
      <c r="Q16" s="11">
        <v>10.49478</v>
      </c>
      <c r="R16" s="11">
        <v>1.13344</v>
      </c>
      <c r="S16" s="11">
        <v>9.3613400000000002</v>
      </c>
      <c r="T16" s="7">
        <v>96</v>
      </c>
      <c r="U16" s="6">
        <v>43647</v>
      </c>
      <c r="V16" s="7">
        <v>9916950205</v>
      </c>
      <c r="W16" s="10" t="s">
        <v>60</v>
      </c>
      <c r="X16" s="7" t="s">
        <v>56</v>
      </c>
      <c r="Y16" s="10" t="s">
        <v>57</v>
      </c>
      <c r="Z16" s="7" t="s">
        <v>35</v>
      </c>
      <c r="AA16" s="10" t="s">
        <v>36</v>
      </c>
      <c r="AB16" s="11">
        <f t="shared" si="0"/>
        <v>0.10494780000000001</v>
      </c>
    </row>
    <row r="17" spans="1:28" x14ac:dyDescent="0.35">
      <c r="A17" s="4">
        <v>4565</v>
      </c>
      <c r="B17" s="5" t="s">
        <v>52</v>
      </c>
      <c r="C17" s="6">
        <v>43647</v>
      </c>
      <c r="D17" s="7">
        <v>141</v>
      </c>
      <c r="E17" s="8" t="s">
        <v>38</v>
      </c>
      <c r="F17" s="7" t="s">
        <v>79</v>
      </c>
      <c r="G17" s="10" t="s">
        <v>80</v>
      </c>
      <c r="H17" s="7" t="str">
        <f>"000122"</f>
        <v>000122</v>
      </c>
      <c r="I17" s="6">
        <v>43118</v>
      </c>
      <c r="J17" s="7" t="str">
        <f>"000060"</f>
        <v>000060</v>
      </c>
      <c r="K17" s="6">
        <v>43118</v>
      </c>
      <c r="L17" s="7" t="str">
        <f>"000104"</f>
        <v>000104</v>
      </c>
      <c r="M17" s="6">
        <v>43118</v>
      </c>
      <c r="N17" s="7">
        <v>17</v>
      </c>
      <c r="O17" s="7" t="str">
        <f>"003079"</f>
        <v>003079</v>
      </c>
      <c r="P17" s="6">
        <v>43640</v>
      </c>
      <c r="Q17" s="11">
        <v>20.993970000000001</v>
      </c>
      <c r="R17" s="11">
        <v>2.3723200000000002</v>
      </c>
      <c r="S17" s="11">
        <v>18.621649999999999</v>
      </c>
      <c r="T17" s="7">
        <v>96</v>
      </c>
      <c r="U17" s="6">
        <v>43647</v>
      </c>
      <c r="V17" s="7">
        <v>9916950205</v>
      </c>
      <c r="W17" s="10" t="s">
        <v>55</v>
      </c>
      <c r="X17" s="7" t="s">
        <v>69</v>
      </c>
      <c r="Y17" s="10" t="s">
        <v>70</v>
      </c>
      <c r="Z17" s="7" t="s">
        <v>35</v>
      </c>
      <c r="AA17" s="10" t="s">
        <v>36</v>
      </c>
      <c r="AB17" s="11">
        <f t="shared" si="0"/>
        <v>0.20993970000000001</v>
      </c>
    </row>
    <row r="18" spans="1:28" x14ac:dyDescent="0.35">
      <c r="A18" s="4">
        <v>4566</v>
      </c>
      <c r="B18" s="5" t="s">
        <v>52</v>
      </c>
      <c r="C18" s="6">
        <v>43647</v>
      </c>
      <c r="D18" s="7">
        <v>141</v>
      </c>
      <c r="E18" s="8" t="s">
        <v>38</v>
      </c>
      <c r="F18" s="7" t="s">
        <v>81</v>
      </c>
      <c r="G18" s="10" t="s">
        <v>82</v>
      </c>
      <c r="H18" s="7" t="str">
        <f>"000121"</f>
        <v>000121</v>
      </c>
      <c r="I18" s="6">
        <v>43118</v>
      </c>
      <c r="J18" s="7" t="str">
        <f>"000059"</f>
        <v>000059</v>
      </c>
      <c r="K18" s="6">
        <v>43118</v>
      </c>
      <c r="L18" s="7" t="str">
        <f>"000106"</f>
        <v>000106</v>
      </c>
      <c r="M18" s="6">
        <v>43118</v>
      </c>
      <c r="N18" s="7">
        <v>17</v>
      </c>
      <c r="O18" s="7" t="str">
        <f>"003080"</f>
        <v>003080</v>
      </c>
      <c r="P18" s="6">
        <v>43640</v>
      </c>
      <c r="Q18" s="11">
        <v>20.993739999999999</v>
      </c>
      <c r="R18" s="11">
        <v>2.3723000000000001</v>
      </c>
      <c r="S18" s="11">
        <v>18.62144</v>
      </c>
      <c r="T18" s="7">
        <v>96</v>
      </c>
      <c r="U18" s="6">
        <v>43647</v>
      </c>
      <c r="V18" s="7">
        <v>9916950205</v>
      </c>
      <c r="W18" s="10" t="s">
        <v>55</v>
      </c>
      <c r="X18" s="7" t="s">
        <v>69</v>
      </c>
      <c r="Y18" s="10" t="s">
        <v>70</v>
      </c>
      <c r="Z18" s="7" t="s">
        <v>35</v>
      </c>
      <c r="AA18" s="10" t="s">
        <v>36</v>
      </c>
      <c r="AB18" s="11">
        <f t="shared" si="0"/>
        <v>0.2099374</v>
      </c>
    </row>
    <row r="19" spans="1:28" x14ac:dyDescent="0.35">
      <c r="A19" s="4">
        <v>4567</v>
      </c>
      <c r="B19" s="5" t="s">
        <v>52</v>
      </c>
      <c r="C19" s="6">
        <v>43647</v>
      </c>
      <c r="D19" s="7">
        <v>141</v>
      </c>
      <c r="E19" s="8" t="s">
        <v>38</v>
      </c>
      <c r="F19" s="7" t="s">
        <v>83</v>
      </c>
      <c r="G19" s="10" t="s">
        <v>84</v>
      </c>
      <c r="H19" s="7" t="str">
        <f>"000117"</f>
        <v>000117</v>
      </c>
      <c r="I19" s="6">
        <v>43118</v>
      </c>
      <c r="J19" s="7" t="str">
        <f>"000064"</f>
        <v>000064</v>
      </c>
      <c r="K19" s="6">
        <v>43118</v>
      </c>
      <c r="L19" s="7" t="str">
        <f>"000107"</f>
        <v>000107</v>
      </c>
      <c r="M19" s="6">
        <v>43118</v>
      </c>
      <c r="N19" s="7">
        <v>17</v>
      </c>
      <c r="O19" s="7" t="str">
        <f>"003082"</f>
        <v>003082</v>
      </c>
      <c r="P19" s="6">
        <v>43640</v>
      </c>
      <c r="Q19" s="11">
        <v>25.713509999999999</v>
      </c>
      <c r="R19" s="11">
        <v>2.90564</v>
      </c>
      <c r="S19" s="11">
        <v>22.807870000000001</v>
      </c>
      <c r="T19" s="7">
        <v>96</v>
      </c>
      <c r="U19" s="6">
        <v>43647</v>
      </c>
      <c r="V19" s="7">
        <v>9916950205</v>
      </c>
      <c r="W19" s="10" t="s">
        <v>85</v>
      </c>
      <c r="X19" s="7" t="s">
        <v>69</v>
      </c>
      <c r="Y19" s="10" t="s">
        <v>70</v>
      </c>
      <c r="Z19" s="7" t="s">
        <v>35</v>
      </c>
      <c r="AA19" s="10" t="s">
        <v>36</v>
      </c>
      <c r="AB19" s="11">
        <f t="shared" si="0"/>
        <v>0.25713510000000001</v>
      </c>
    </row>
    <row r="20" spans="1:28" x14ac:dyDescent="0.35">
      <c r="A20" s="4">
        <v>4568</v>
      </c>
      <c r="B20" s="5" t="s">
        <v>52</v>
      </c>
      <c r="C20" s="6">
        <v>43647</v>
      </c>
      <c r="D20" s="7">
        <v>141</v>
      </c>
      <c r="E20" s="8" t="s">
        <v>38</v>
      </c>
      <c r="F20" s="7" t="s">
        <v>86</v>
      </c>
      <c r="G20" s="10" t="s">
        <v>87</v>
      </c>
      <c r="H20" s="7" t="str">
        <f>"000115"</f>
        <v>000115</v>
      </c>
      <c r="I20" s="6">
        <v>43118</v>
      </c>
      <c r="J20" s="7" t="str">
        <f>"000062"</f>
        <v>000062</v>
      </c>
      <c r="K20" s="6">
        <v>43118</v>
      </c>
      <c r="L20" s="7" t="str">
        <f>"000108"</f>
        <v>000108</v>
      </c>
      <c r="M20" s="6">
        <v>43118</v>
      </c>
      <c r="N20" s="7">
        <v>17</v>
      </c>
      <c r="O20" s="7" t="str">
        <f>"003084"</f>
        <v>003084</v>
      </c>
      <c r="P20" s="6">
        <v>43640</v>
      </c>
      <c r="Q20" s="11">
        <v>14.941549999999999</v>
      </c>
      <c r="R20" s="11">
        <v>1.6136999999999999</v>
      </c>
      <c r="S20" s="11">
        <v>13.32785</v>
      </c>
      <c r="T20" s="7">
        <v>96</v>
      </c>
      <c r="U20" s="6">
        <v>43647</v>
      </c>
      <c r="V20" s="7">
        <v>9916950205</v>
      </c>
      <c r="W20" s="10" t="s">
        <v>60</v>
      </c>
      <c r="X20" s="7" t="s">
        <v>88</v>
      </c>
      <c r="Y20" s="10" t="s">
        <v>89</v>
      </c>
      <c r="Z20" s="7" t="s">
        <v>35</v>
      </c>
      <c r="AA20" s="10" t="s">
        <v>36</v>
      </c>
      <c r="AB20" s="11">
        <f t="shared" si="0"/>
        <v>0.14941550000000001</v>
      </c>
    </row>
    <row r="21" spans="1:28" x14ac:dyDescent="0.35">
      <c r="A21" s="4">
        <v>4569</v>
      </c>
      <c r="B21" s="5" t="s">
        <v>52</v>
      </c>
      <c r="C21" s="6">
        <v>43647</v>
      </c>
      <c r="D21" s="7">
        <v>141</v>
      </c>
      <c r="E21" s="8" t="s">
        <v>38</v>
      </c>
      <c r="F21" s="7" t="s">
        <v>90</v>
      </c>
      <c r="G21" s="10" t="s">
        <v>91</v>
      </c>
      <c r="H21" s="7" t="str">
        <f>"000116"</f>
        <v>000116</v>
      </c>
      <c r="I21" s="6">
        <v>43118</v>
      </c>
      <c r="J21" s="7" t="str">
        <f>"000063"</f>
        <v>000063</v>
      </c>
      <c r="K21" s="6">
        <v>43118</v>
      </c>
      <c r="L21" s="7" t="str">
        <f>"000109"</f>
        <v>000109</v>
      </c>
      <c r="M21" s="6">
        <v>43118</v>
      </c>
      <c r="N21" s="7">
        <v>17</v>
      </c>
      <c r="O21" s="7" t="str">
        <f>"003085"</f>
        <v>003085</v>
      </c>
      <c r="P21" s="6">
        <v>43640</v>
      </c>
      <c r="Q21" s="11">
        <v>14.543659999999999</v>
      </c>
      <c r="R21" s="11">
        <v>1.57073</v>
      </c>
      <c r="S21" s="11">
        <v>12.97293</v>
      </c>
      <c r="T21" s="7">
        <v>96</v>
      </c>
      <c r="U21" s="6">
        <v>43647</v>
      </c>
      <c r="V21" s="7">
        <v>9916950205</v>
      </c>
      <c r="W21" s="10" t="s">
        <v>60</v>
      </c>
      <c r="X21" s="7" t="s">
        <v>88</v>
      </c>
      <c r="Y21" s="10" t="s">
        <v>89</v>
      </c>
      <c r="Z21" s="7" t="s">
        <v>35</v>
      </c>
      <c r="AA21" s="10" t="s">
        <v>36</v>
      </c>
      <c r="AB21" s="11">
        <f t="shared" si="0"/>
        <v>0.1454366</v>
      </c>
    </row>
    <row r="22" spans="1:28" x14ac:dyDescent="0.35">
      <c r="A22" s="4">
        <v>4570</v>
      </c>
      <c r="B22" s="5" t="s">
        <v>52</v>
      </c>
      <c r="C22" s="6">
        <v>43647</v>
      </c>
      <c r="D22" s="7">
        <v>141</v>
      </c>
      <c r="E22" s="8" t="s">
        <v>38</v>
      </c>
      <c r="F22" s="7" t="s">
        <v>92</v>
      </c>
      <c r="G22" s="10" t="s">
        <v>93</v>
      </c>
      <c r="H22" s="7" t="str">
        <f>"000113"</f>
        <v>000113</v>
      </c>
      <c r="I22" s="6">
        <v>43118</v>
      </c>
      <c r="J22" s="7" t="str">
        <f>"000068"</f>
        <v>000068</v>
      </c>
      <c r="K22" s="6">
        <v>43118</v>
      </c>
      <c r="L22" s="7" t="str">
        <f>"000111"</f>
        <v>000111</v>
      </c>
      <c r="M22" s="6">
        <v>43118</v>
      </c>
      <c r="N22" s="7">
        <v>17</v>
      </c>
      <c r="O22" s="7" t="str">
        <f>"003086"</f>
        <v>003086</v>
      </c>
      <c r="P22" s="6">
        <v>43640</v>
      </c>
      <c r="Q22" s="11">
        <v>10.49489</v>
      </c>
      <c r="R22" s="11">
        <v>1.13344</v>
      </c>
      <c r="S22" s="11">
        <v>9.3614499999999996</v>
      </c>
      <c r="T22" s="7">
        <v>96</v>
      </c>
      <c r="U22" s="6">
        <v>43647</v>
      </c>
      <c r="V22" s="7">
        <v>9916950205</v>
      </c>
      <c r="W22" s="10" t="s">
        <v>60</v>
      </c>
      <c r="X22" s="7" t="s">
        <v>69</v>
      </c>
      <c r="Y22" s="10" t="s">
        <v>70</v>
      </c>
      <c r="Z22" s="7" t="s">
        <v>35</v>
      </c>
      <c r="AA22" s="10" t="s">
        <v>36</v>
      </c>
      <c r="AB22" s="11">
        <f t="shared" si="0"/>
        <v>0.1049489</v>
      </c>
    </row>
    <row r="23" spans="1:28" x14ac:dyDescent="0.35">
      <c r="A23" s="4">
        <v>4571</v>
      </c>
      <c r="B23" s="5" t="s">
        <v>52</v>
      </c>
      <c r="C23" s="6">
        <v>43647</v>
      </c>
      <c r="D23" s="7">
        <v>141</v>
      </c>
      <c r="E23" s="8" t="s">
        <v>38</v>
      </c>
      <c r="F23" s="7" t="s">
        <v>94</v>
      </c>
      <c r="G23" s="10" t="s">
        <v>95</v>
      </c>
      <c r="H23" s="7" t="str">
        <f>"000118"</f>
        <v>000118</v>
      </c>
      <c r="I23" s="6">
        <v>43118</v>
      </c>
      <c r="J23" s="7" t="str">
        <f>"000067"</f>
        <v>000067</v>
      </c>
      <c r="K23" s="6">
        <v>43118</v>
      </c>
      <c r="L23" s="7" t="str">
        <f>"000112"</f>
        <v>000112</v>
      </c>
      <c r="M23" s="6">
        <v>43118</v>
      </c>
      <c r="N23" s="7">
        <v>17</v>
      </c>
      <c r="O23" s="7" t="str">
        <f>"003088"</f>
        <v>003088</v>
      </c>
      <c r="P23" s="6">
        <v>43640</v>
      </c>
      <c r="Q23" s="11">
        <v>15.73334</v>
      </c>
      <c r="R23" s="11">
        <v>1.6991799999999999</v>
      </c>
      <c r="S23" s="11">
        <v>14.03416</v>
      </c>
      <c r="T23" s="7">
        <v>96</v>
      </c>
      <c r="U23" s="6">
        <v>43647</v>
      </c>
      <c r="V23" s="7">
        <v>9916950205</v>
      </c>
      <c r="W23" s="10" t="s">
        <v>55</v>
      </c>
      <c r="X23" s="7" t="s">
        <v>88</v>
      </c>
      <c r="Y23" s="10" t="s">
        <v>89</v>
      </c>
      <c r="Z23" s="7" t="s">
        <v>35</v>
      </c>
      <c r="AA23" s="10" t="s">
        <v>36</v>
      </c>
      <c r="AB23" s="11">
        <f t="shared" si="0"/>
        <v>0.15733340000000001</v>
      </c>
    </row>
    <row r="24" spans="1:28" x14ac:dyDescent="0.35">
      <c r="A24" s="4">
        <v>4572</v>
      </c>
      <c r="B24" s="5" t="s">
        <v>52</v>
      </c>
      <c r="C24" s="6">
        <v>43647</v>
      </c>
      <c r="D24" s="7">
        <v>141</v>
      </c>
      <c r="E24" s="8" t="s">
        <v>38</v>
      </c>
      <c r="F24" s="7" t="s">
        <v>96</v>
      </c>
      <c r="G24" s="10" t="s">
        <v>97</v>
      </c>
      <c r="H24" s="7" t="str">
        <f>"000124"</f>
        <v>000124</v>
      </c>
      <c r="I24" s="6">
        <v>43118</v>
      </c>
      <c r="J24" s="7" t="str">
        <f>"000061"</f>
        <v>000061</v>
      </c>
      <c r="K24" s="6">
        <v>43118</v>
      </c>
      <c r="L24" s="7" t="str">
        <f>"000113"</f>
        <v>000113</v>
      </c>
      <c r="M24" s="6">
        <v>43118</v>
      </c>
      <c r="N24" s="7">
        <v>17</v>
      </c>
      <c r="O24" s="7" t="str">
        <f>"003089"</f>
        <v>003089</v>
      </c>
      <c r="P24" s="6">
        <v>43640</v>
      </c>
      <c r="Q24" s="11">
        <v>20.986999999999998</v>
      </c>
      <c r="R24" s="11">
        <v>2.37154</v>
      </c>
      <c r="S24" s="11">
        <v>18.615459999999999</v>
      </c>
      <c r="T24" s="7">
        <v>96</v>
      </c>
      <c r="U24" s="6">
        <v>43647</v>
      </c>
      <c r="V24" s="7">
        <v>9916950205</v>
      </c>
      <c r="W24" s="10" t="s">
        <v>55</v>
      </c>
      <c r="X24" s="7" t="s">
        <v>69</v>
      </c>
      <c r="Y24" s="10" t="s">
        <v>70</v>
      </c>
      <c r="Z24" s="7" t="s">
        <v>35</v>
      </c>
      <c r="AA24" s="10" t="s">
        <v>36</v>
      </c>
      <c r="AB24" s="11">
        <f t="shared" si="0"/>
        <v>0.20986999999999997</v>
      </c>
    </row>
    <row r="25" spans="1:28" x14ac:dyDescent="0.35">
      <c r="A25" s="4">
        <v>4573</v>
      </c>
      <c r="B25" s="5" t="s">
        <v>52</v>
      </c>
      <c r="C25" s="6">
        <v>43647</v>
      </c>
      <c r="D25" s="7">
        <v>141</v>
      </c>
      <c r="E25" s="8" t="s">
        <v>38</v>
      </c>
      <c r="F25" s="7" t="s">
        <v>98</v>
      </c>
      <c r="G25" s="10" t="s">
        <v>99</v>
      </c>
      <c r="H25" s="7" t="str">
        <f>"000120"</f>
        <v>000120</v>
      </c>
      <c r="I25" s="6">
        <v>43118</v>
      </c>
      <c r="J25" s="7" t="str">
        <f>"000065"</f>
        <v>000065</v>
      </c>
      <c r="K25" s="6">
        <v>43118</v>
      </c>
      <c r="L25" s="7" t="str">
        <f>"000115"</f>
        <v>000115</v>
      </c>
      <c r="M25" s="6">
        <v>43118</v>
      </c>
      <c r="N25" s="7">
        <v>17</v>
      </c>
      <c r="O25" s="7" t="str">
        <f>"003090"</f>
        <v>003090</v>
      </c>
      <c r="P25" s="6">
        <v>43640</v>
      </c>
      <c r="Q25" s="11">
        <v>20.994789999999998</v>
      </c>
      <c r="R25" s="11">
        <v>2.3724099999999999</v>
      </c>
      <c r="S25" s="11">
        <v>18.62238</v>
      </c>
      <c r="T25" s="7">
        <v>96</v>
      </c>
      <c r="U25" s="6">
        <v>43647</v>
      </c>
      <c r="V25" s="7">
        <v>9916950205</v>
      </c>
      <c r="W25" s="10" t="s">
        <v>55</v>
      </c>
      <c r="X25" s="7" t="s">
        <v>69</v>
      </c>
      <c r="Y25" s="10" t="s">
        <v>70</v>
      </c>
      <c r="Z25" s="7" t="s">
        <v>35</v>
      </c>
      <c r="AA25" s="10" t="s">
        <v>36</v>
      </c>
      <c r="AB25" s="11">
        <f t="shared" si="0"/>
        <v>0.20994789999999999</v>
      </c>
    </row>
    <row r="26" spans="1:28" x14ac:dyDescent="0.35">
      <c r="A26" s="4">
        <v>4574</v>
      </c>
      <c r="B26" s="5" t="s">
        <v>52</v>
      </c>
      <c r="C26" s="6">
        <v>43647</v>
      </c>
      <c r="D26" s="7">
        <v>141</v>
      </c>
      <c r="E26" s="8" t="s">
        <v>38</v>
      </c>
      <c r="F26" s="7" t="s">
        <v>100</v>
      </c>
      <c r="G26" s="10" t="s">
        <v>101</v>
      </c>
      <c r="H26" s="7" t="str">
        <f>"000119"</f>
        <v>000119</v>
      </c>
      <c r="I26" s="6">
        <v>43118</v>
      </c>
      <c r="J26" s="7" t="str">
        <f>"000072"</f>
        <v>000072</v>
      </c>
      <c r="K26" s="6">
        <v>43119</v>
      </c>
      <c r="L26" s="7" t="str">
        <f>"000116"</f>
        <v>000116</v>
      </c>
      <c r="M26" s="6">
        <v>43119</v>
      </c>
      <c r="N26" s="7">
        <v>17</v>
      </c>
      <c r="O26" s="7" t="str">
        <f>"003092"</f>
        <v>003092</v>
      </c>
      <c r="P26" s="6">
        <v>43640</v>
      </c>
      <c r="Q26" s="11">
        <v>10.49296</v>
      </c>
      <c r="R26" s="11">
        <v>1.13324</v>
      </c>
      <c r="S26" s="11">
        <v>9.3597199999999994</v>
      </c>
      <c r="T26" s="7">
        <v>96</v>
      </c>
      <c r="U26" s="6">
        <v>43647</v>
      </c>
      <c r="V26" s="7">
        <v>9916950205</v>
      </c>
      <c r="W26" s="10" t="s">
        <v>60</v>
      </c>
      <c r="X26" s="7" t="s">
        <v>29</v>
      </c>
      <c r="Y26" s="10" t="s">
        <v>30</v>
      </c>
      <c r="Z26" s="7" t="s">
        <v>35</v>
      </c>
      <c r="AA26" s="10" t="s">
        <v>36</v>
      </c>
      <c r="AB26" s="11">
        <f t="shared" si="0"/>
        <v>0.1049296</v>
      </c>
    </row>
    <row r="27" spans="1:28" x14ac:dyDescent="0.35">
      <c r="A27" s="4">
        <v>4575</v>
      </c>
      <c r="B27" s="5" t="s">
        <v>52</v>
      </c>
      <c r="C27" s="6">
        <v>43647</v>
      </c>
      <c r="D27" s="7">
        <v>141</v>
      </c>
      <c r="E27" s="8" t="s">
        <v>38</v>
      </c>
      <c r="F27" s="7" t="s">
        <v>102</v>
      </c>
      <c r="G27" s="10" t="s">
        <v>103</v>
      </c>
      <c r="H27" s="7" t="str">
        <f>"000094"</f>
        <v>000094</v>
      </c>
      <c r="I27" s="6">
        <v>43116</v>
      </c>
      <c r="J27" s="7" t="str">
        <f>"000039"</f>
        <v>000039</v>
      </c>
      <c r="K27" s="6">
        <v>43117</v>
      </c>
      <c r="L27" s="7" t="str">
        <f>"000117"</f>
        <v>000117</v>
      </c>
      <c r="M27" s="6">
        <v>43121</v>
      </c>
      <c r="N27" s="7">
        <v>17</v>
      </c>
      <c r="O27" s="7" t="str">
        <f>"003121"</f>
        <v>003121</v>
      </c>
      <c r="P27" s="6">
        <v>43643</v>
      </c>
      <c r="Q27" s="11">
        <v>20.795929999999998</v>
      </c>
      <c r="R27" s="11">
        <v>2.3938199999999998</v>
      </c>
      <c r="S27" s="11">
        <v>18.40211</v>
      </c>
      <c r="T27" s="7">
        <v>96</v>
      </c>
      <c r="U27" s="6">
        <v>43647</v>
      </c>
      <c r="V27" s="7">
        <v>9886296777</v>
      </c>
      <c r="W27" s="10" t="s">
        <v>104</v>
      </c>
      <c r="X27" s="7" t="s">
        <v>29</v>
      </c>
      <c r="Y27" s="10" t="s">
        <v>30</v>
      </c>
      <c r="Z27" s="7" t="s">
        <v>35</v>
      </c>
      <c r="AA27" s="10" t="s">
        <v>36</v>
      </c>
      <c r="AB27" s="11">
        <f t="shared" si="0"/>
        <v>0.20795929999999999</v>
      </c>
    </row>
    <row r="28" spans="1:28" x14ac:dyDescent="0.35">
      <c r="A28" s="4">
        <v>4576</v>
      </c>
      <c r="B28" s="5" t="s">
        <v>52</v>
      </c>
      <c r="C28" s="6">
        <v>43647</v>
      </c>
      <c r="D28" s="7">
        <v>141</v>
      </c>
      <c r="E28" s="8" t="s">
        <v>38</v>
      </c>
      <c r="F28" s="7" t="s">
        <v>105</v>
      </c>
      <c r="G28" s="10" t="s">
        <v>106</v>
      </c>
      <c r="H28" s="7" t="str">
        <f>"000092"</f>
        <v>000092</v>
      </c>
      <c r="I28" s="6">
        <v>43116</v>
      </c>
      <c r="J28" s="7" t="str">
        <f>"000042"</f>
        <v>000042</v>
      </c>
      <c r="K28" s="6">
        <v>43117</v>
      </c>
      <c r="L28" s="7" t="str">
        <f>"000118"</f>
        <v>000118</v>
      </c>
      <c r="M28" s="6">
        <v>43121</v>
      </c>
      <c r="N28" s="7">
        <v>17</v>
      </c>
      <c r="O28" s="7" t="str">
        <f>"003122"</f>
        <v>003122</v>
      </c>
      <c r="P28" s="6">
        <v>43643</v>
      </c>
      <c r="Q28" s="11">
        <v>20.86261</v>
      </c>
      <c r="R28" s="11">
        <v>2.4020999999999999</v>
      </c>
      <c r="S28" s="11">
        <v>18.460509999999999</v>
      </c>
      <c r="T28" s="7">
        <v>96</v>
      </c>
      <c r="U28" s="6">
        <v>43647</v>
      </c>
      <c r="V28" s="7">
        <v>9886296777</v>
      </c>
      <c r="W28" s="10" t="s">
        <v>104</v>
      </c>
      <c r="X28" s="7" t="s">
        <v>29</v>
      </c>
      <c r="Y28" s="10" t="s">
        <v>30</v>
      </c>
      <c r="Z28" s="7" t="s">
        <v>35</v>
      </c>
      <c r="AA28" s="10" t="s">
        <v>36</v>
      </c>
      <c r="AB28" s="11">
        <f t="shared" si="0"/>
        <v>0.20862610000000001</v>
      </c>
    </row>
    <row r="29" spans="1:28" x14ac:dyDescent="0.35">
      <c r="A29" s="4">
        <v>4577</v>
      </c>
      <c r="B29" s="5" t="s">
        <v>52</v>
      </c>
      <c r="C29" s="6">
        <v>43647</v>
      </c>
      <c r="D29" s="7">
        <v>141</v>
      </c>
      <c r="E29" s="8" t="s">
        <v>38</v>
      </c>
      <c r="F29" s="7" t="s">
        <v>107</v>
      </c>
      <c r="G29" s="10" t="s">
        <v>108</v>
      </c>
      <c r="H29" s="7" t="str">
        <f>"000155"</f>
        <v>000155</v>
      </c>
      <c r="I29" s="6">
        <v>43131</v>
      </c>
      <c r="J29" s="7" t="str">
        <f>"000084"</f>
        <v>000084</v>
      </c>
      <c r="K29" s="6">
        <v>43131</v>
      </c>
      <c r="L29" s="7" t="str">
        <f>"000144"</f>
        <v>000144</v>
      </c>
      <c r="M29" s="6">
        <v>43131</v>
      </c>
      <c r="N29" s="7">
        <v>16</v>
      </c>
      <c r="O29" s="7" t="str">
        <f>"003178"</f>
        <v>003178</v>
      </c>
      <c r="P29" s="6">
        <v>43643</v>
      </c>
      <c r="Q29" s="11">
        <v>10.38068</v>
      </c>
      <c r="R29" s="11">
        <v>1.1211199999999999</v>
      </c>
      <c r="S29" s="11">
        <v>9.2595600000000005</v>
      </c>
      <c r="T29" s="7">
        <v>96</v>
      </c>
      <c r="U29" s="6">
        <v>43647</v>
      </c>
      <c r="V29" s="7">
        <v>9916950205</v>
      </c>
      <c r="W29" s="10" t="s">
        <v>60</v>
      </c>
      <c r="X29" s="7" t="s">
        <v>109</v>
      </c>
      <c r="Y29" s="10" t="s">
        <v>110</v>
      </c>
      <c r="Z29" s="7" t="s">
        <v>35</v>
      </c>
      <c r="AA29" s="10" t="s">
        <v>36</v>
      </c>
      <c r="AB29" s="11">
        <f t="shared" si="0"/>
        <v>0.1038068</v>
      </c>
    </row>
    <row r="30" spans="1:28" x14ac:dyDescent="0.35">
      <c r="A30" s="4">
        <v>4578</v>
      </c>
      <c r="B30" s="5" t="s">
        <v>52</v>
      </c>
      <c r="C30" s="6">
        <v>43647</v>
      </c>
      <c r="D30" s="7">
        <v>141</v>
      </c>
      <c r="E30" s="8" t="s">
        <v>38</v>
      </c>
      <c r="F30" s="7" t="s">
        <v>111</v>
      </c>
      <c r="G30" s="10" t="s">
        <v>112</v>
      </c>
      <c r="H30" s="7" t="str">
        <f>"000148"</f>
        <v>000148</v>
      </c>
      <c r="I30" s="6">
        <v>43131</v>
      </c>
      <c r="J30" s="7" t="str">
        <f>"000087"</f>
        <v>000087</v>
      </c>
      <c r="K30" s="6">
        <v>43131</v>
      </c>
      <c r="L30" s="7" t="str">
        <f>"000145"</f>
        <v>000145</v>
      </c>
      <c r="M30" s="6">
        <v>43131</v>
      </c>
      <c r="N30" s="7">
        <v>16</v>
      </c>
      <c r="O30" s="7" t="str">
        <f>"003179"</f>
        <v>003179</v>
      </c>
      <c r="P30" s="6">
        <v>43643</v>
      </c>
      <c r="Q30" s="11">
        <v>10.493119999999999</v>
      </c>
      <c r="R30" s="11">
        <v>1.1332500000000001</v>
      </c>
      <c r="S30" s="11">
        <v>9.3598700000000008</v>
      </c>
      <c r="T30" s="7">
        <v>96</v>
      </c>
      <c r="U30" s="6">
        <v>43647</v>
      </c>
      <c r="V30" s="7">
        <v>9916950205</v>
      </c>
      <c r="W30" s="10" t="s">
        <v>60</v>
      </c>
      <c r="X30" s="7" t="s">
        <v>109</v>
      </c>
      <c r="Y30" s="10" t="s">
        <v>110</v>
      </c>
      <c r="Z30" s="7" t="s">
        <v>35</v>
      </c>
      <c r="AA30" s="10" t="s">
        <v>36</v>
      </c>
      <c r="AB30" s="11">
        <f t="shared" si="0"/>
        <v>0.10493119999999999</v>
      </c>
    </row>
    <row r="31" spans="1:28" x14ac:dyDescent="0.35">
      <c r="A31" s="4">
        <v>4579</v>
      </c>
      <c r="B31" s="5" t="s">
        <v>52</v>
      </c>
      <c r="C31" s="6">
        <v>43647</v>
      </c>
      <c r="D31" s="7">
        <v>141</v>
      </c>
      <c r="E31" s="8" t="s">
        <v>38</v>
      </c>
      <c r="F31" s="7" t="s">
        <v>113</v>
      </c>
      <c r="G31" s="10" t="s">
        <v>114</v>
      </c>
      <c r="H31" s="7" t="str">
        <f>"000156"</f>
        <v>000156</v>
      </c>
      <c r="I31" s="6">
        <v>43131</v>
      </c>
      <c r="J31" s="7" t="str">
        <f>"000092"</f>
        <v>000092</v>
      </c>
      <c r="K31" s="6">
        <v>43131</v>
      </c>
      <c r="L31" s="7" t="str">
        <f>"000146"</f>
        <v>000146</v>
      </c>
      <c r="M31" s="6">
        <v>43131</v>
      </c>
      <c r="N31" s="7">
        <v>17</v>
      </c>
      <c r="O31" s="7" t="str">
        <f>"003188"</f>
        <v>003188</v>
      </c>
      <c r="P31" s="6">
        <v>43643</v>
      </c>
      <c r="Q31" s="11">
        <v>27.491199999999999</v>
      </c>
      <c r="R31" s="11">
        <v>3.1065</v>
      </c>
      <c r="S31" s="11">
        <v>24.384699999999999</v>
      </c>
      <c r="T31" s="7">
        <v>96</v>
      </c>
      <c r="U31" s="6">
        <v>43647</v>
      </c>
      <c r="V31" s="7">
        <v>9916950205</v>
      </c>
      <c r="W31" s="10" t="s">
        <v>55</v>
      </c>
      <c r="X31" s="7" t="s">
        <v>69</v>
      </c>
      <c r="Y31" s="10" t="s">
        <v>70</v>
      </c>
      <c r="Z31" s="7" t="s">
        <v>35</v>
      </c>
      <c r="AA31" s="10" t="s">
        <v>36</v>
      </c>
      <c r="AB31" s="11">
        <f t="shared" si="0"/>
        <v>0.27491199999999999</v>
      </c>
    </row>
    <row r="32" spans="1:28" x14ac:dyDescent="0.35">
      <c r="A32" s="4">
        <v>4580</v>
      </c>
      <c r="B32" s="5" t="s">
        <v>52</v>
      </c>
      <c r="C32" s="6">
        <v>43647</v>
      </c>
      <c r="D32" s="7">
        <v>141</v>
      </c>
      <c r="E32" s="8" t="s">
        <v>38</v>
      </c>
      <c r="F32" s="7" t="s">
        <v>115</v>
      </c>
      <c r="G32" s="10" t="s">
        <v>116</v>
      </c>
      <c r="H32" s="7" t="str">
        <f>"000157"</f>
        <v>000157</v>
      </c>
      <c r="I32" s="6">
        <v>43131</v>
      </c>
      <c r="J32" s="7" t="str">
        <f>"000090"</f>
        <v>000090</v>
      </c>
      <c r="K32" s="6">
        <v>43131</v>
      </c>
      <c r="L32" s="7" t="str">
        <f>"000147"</f>
        <v>000147</v>
      </c>
      <c r="M32" s="6">
        <v>43131</v>
      </c>
      <c r="N32" s="7">
        <v>16</v>
      </c>
      <c r="O32" s="7" t="str">
        <f>"003189"</f>
        <v>003189</v>
      </c>
      <c r="P32" s="6">
        <v>43643</v>
      </c>
      <c r="Q32" s="11">
        <v>10.49518</v>
      </c>
      <c r="R32" s="11">
        <v>1.1334500000000001</v>
      </c>
      <c r="S32" s="11">
        <v>9.3617299999999997</v>
      </c>
      <c r="T32" s="7">
        <v>96</v>
      </c>
      <c r="U32" s="6">
        <v>43647</v>
      </c>
      <c r="V32" s="7">
        <v>9916950205</v>
      </c>
      <c r="W32" s="10" t="s">
        <v>60</v>
      </c>
      <c r="X32" s="7" t="s">
        <v>109</v>
      </c>
      <c r="Y32" s="10" t="s">
        <v>110</v>
      </c>
      <c r="Z32" s="7" t="s">
        <v>35</v>
      </c>
      <c r="AA32" s="10" t="s">
        <v>36</v>
      </c>
      <c r="AB32" s="11">
        <f t="shared" si="0"/>
        <v>0.1049518</v>
      </c>
    </row>
    <row r="33" spans="1:28" x14ac:dyDescent="0.35">
      <c r="A33" s="4">
        <v>4581</v>
      </c>
      <c r="B33" s="5" t="s">
        <v>52</v>
      </c>
      <c r="C33" s="6">
        <v>43647</v>
      </c>
      <c r="D33" s="7">
        <v>141</v>
      </c>
      <c r="E33" s="8" t="s">
        <v>38</v>
      </c>
      <c r="F33" s="7" t="s">
        <v>117</v>
      </c>
      <c r="G33" s="10" t="s">
        <v>118</v>
      </c>
      <c r="H33" s="7" t="str">
        <f>"000160"</f>
        <v>000160</v>
      </c>
      <c r="I33" s="6">
        <v>43131</v>
      </c>
      <c r="J33" s="7" t="str">
        <f>"000085"</f>
        <v>000085</v>
      </c>
      <c r="K33" s="6">
        <v>43131</v>
      </c>
      <c r="L33" s="7" t="str">
        <f>"000148"</f>
        <v>000148</v>
      </c>
      <c r="M33" s="6">
        <v>43131</v>
      </c>
      <c r="N33" s="7">
        <v>16</v>
      </c>
      <c r="O33" s="7" t="str">
        <f>"003200"</f>
        <v>003200</v>
      </c>
      <c r="P33" s="6">
        <v>43643</v>
      </c>
      <c r="Q33" s="11">
        <v>10.492240000000001</v>
      </c>
      <c r="R33" s="11">
        <v>1.1331500000000001</v>
      </c>
      <c r="S33" s="11">
        <v>9.3590900000000001</v>
      </c>
      <c r="T33" s="7">
        <v>96</v>
      </c>
      <c r="U33" s="6">
        <v>43647</v>
      </c>
      <c r="V33" s="7">
        <v>9916950205</v>
      </c>
      <c r="W33" s="10" t="s">
        <v>60</v>
      </c>
      <c r="X33" s="7" t="s">
        <v>109</v>
      </c>
      <c r="Y33" s="10" t="s">
        <v>110</v>
      </c>
      <c r="Z33" s="7" t="s">
        <v>35</v>
      </c>
      <c r="AA33" s="10" t="s">
        <v>36</v>
      </c>
      <c r="AB33" s="11">
        <f t="shared" si="0"/>
        <v>0.10492240000000001</v>
      </c>
    </row>
    <row r="34" spans="1:28" x14ac:dyDescent="0.35">
      <c r="A34" s="4">
        <v>4582</v>
      </c>
      <c r="B34" s="5" t="s">
        <v>52</v>
      </c>
      <c r="C34" s="6">
        <v>43647</v>
      </c>
      <c r="D34" s="7">
        <v>141</v>
      </c>
      <c r="E34" s="8" t="s">
        <v>38</v>
      </c>
      <c r="F34" s="7" t="s">
        <v>119</v>
      </c>
      <c r="G34" s="10" t="s">
        <v>120</v>
      </c>
      <c r="H34" s="7" t="str">
        <f>"000151"</f>
        <v>000151</v>
      </c>
      <c r="I34" s="6">
        <v>43131</v>
      </c>
      <c r="J34" s="7" t="str">
        <f>"000086"</f>
        <v>000086</v>
      </c>
      <c r="K34" s="6">
        <v>43131</v>
      </c>
      <c r="L34" s="7" t="str">
        <f>"000153"</f>
        <v>000153</v>
      </c>
      <c r="M34" s="6">
        <v>43131</v>
      </c>
      <c r="N34" s="7">
        <v>17</v>
      </c>
      <c r="O34" s="7" t="str">
        <f>"003209"</f>
        <v>003209</v>
      </c>
      <c r="P34" s="6">
        <v>43643</v>
      </c>
      <c r="Q34" s="11">
        <v>10.49616</v>
      </c>
      <c r="R34" s="11">
        <v>1.13358</v>
      </c>
      <c r="S34" s="11">
        <v>9.3625799999999995</v>
      </c>
      <c r="T34" s="7">
        <v>96</v>
      </c>
      <c r="U34" s="6">
        <v>43647</v>
      </c>
      <c r="V34" s="7">
        <v>9916950205</v>
      </c>
      <c r="W34" s="10" t="s">
        <v>60</v>
      </c>
      <c r="X34" s="7" t="s">
        <v>56</v>
      </c>
      <c r="Y34" s="10" t="s">
        <v>57</v>
      </c>
      <c r="Z34" s="7" t="s">
        <v>35</v>
      </c>
      <c r="AA34" s="10" t="s">
        <v>36</v>
      </c>
      <c r="AB34" s="11">
        <f t="shared" si="0"/>
        <v>0.1049616</v>
      </c>
    </row>
    <row r="35" spans="1:28" x14ac:dyDescent="0.35">
      <c r="A35" s="4">
        <v>4583</v>
      </c>
      <c r="B35" s="5" t="s">
        <v>52</v>
      </c>
      <c r="C35" s="6">
        <v>43647</v>
      </c>
      <c r="D35" s="7">
        <v>141</v>
      </c>
      <c r="E35" s="8" t="s">
        <v>38</v>
      </c>
      <c r="F35" s="7" t="s">
        <v>121</v>
      </c>
      <c r="G35" s="10" t="s">
        <v>122</v>
      </c>
      <c r="H35" s="7" t="str">
        <f>"000154"</f>
        <v>000154</v>
      </c>
      <c r="I35" s="6">
        <v>43131</v>
      </c>
      <c r="J35" s="7" t="str">
        <f>"000093"</f>
        <v>000093</v>
      </c>
      <c r="K35" s="6">
        <v>43131</v>
      </c>
      <c r="L35" s="7" t="str">
        <f>"000154"</f>
        <v>000154</v>
      </c>
      <c r="M35" s="6">
        <v>43131</v>
      </c>
      <c r="N35" s="7">
        <v>16</v>
      </c>
      <c r="O35" s="7" t="str">
        <f>"003211"</f>
        <v>003211</v>
      </c>
      <c r="P35" s="6">
        <v>43643</v>
      </c>
      <c r="Q35" s="11">
        <v>10.49254</v>
      </c>
      <c r="R35" s="11">
        <v>1.1332100000000001</v>
      </c>
      <c r="S35" s="11">
        <v>9.3593299999999999</v>
      </c>
      <c r="T35" s="7">
        <v>96</v>
      </c>
      <c r="U35" s="6">
        <v>43647</v>
      </c>
      <c r="V35" s="7">
        <v>9916950205</v>
      </c>
      <c r="W35" s="10" t="s">
        <v>55</v>
      </c>
      <c r="X35" s="7" t="s">
        <v>109</v>
      </c>
      <c r="Y35" s="10" t="s">
        <v>110</v>
      </c>
      <c r="Z35" s="7" t="s">
        <v>35</v>
      </c>
      <c r="AA35" s="10" t="s">
        <v>36</v>
      </c>
      <c r="AB35" s="11">
        <f t="shared" si="0"/>
        <v>0.1049254</v>
      </c>
    </row>
    <row r="36" spans="1:28" x14ac:dyDescent="0.35">
      <c r="A36" s="4">
        <v>4584</v>
      </c>
      <c r="B36" s="5" t="s">
        <v>52</v>
      </c>
      <c r="C36" s="6">
        <v>43647</v>
      </c>
      <c r="D36" s="7">
        <v>141</v>
      </c>
      <c r="E36" s="8" t="s">
        <v>38</v>
      </c>
      <c r="F36" s="7" t="s">
        <v>123</v>
      </c>
      <c r="G36" s="10" t="s">
        <v>124</v>
      </c>
      <c r="H36" s="7" t="str">
        <f>"000146"</f>
        <v>000146</v>
      </c>
      <c r="I36" s="6">
        <v>43131</v>
      </c>
      <c r="J36" s="7" t="str">
        <f>"000091"</f>
        <v>000091</v>
      </c>
      <c r="K36" s="6">
        <v>43131</v>
      </c>
      <c r="L36" s="7" t="str">
        <f>"000155"</f>
        <v>000155</v>
      </c>
      <c r="M36" s="6">
        <v>43131</v>
      </c>
      <c r="N36" s="7">
        <v>17</v>
      </c>
      <c r="O36" s="7" t="str">
        <f>"003212"</f>
        <v>003212</v>
      </c>
      <c r="P36" s="6">
        <v>43643</v>
      </c>
      <c r="Q36" s="11">
        <v>37.306640000000002</v>
      </c>
      <c r="R36" s="11">
        <v>4.2156599999999997</v>
      </c>
      <c r="S36" s="11">
        <v>33.090980000000002</v>
      </c>
      <c r="T36" s="7">
        <v>96</v>
      </c>
      <c r="U36" s="6">
        <v>43647</v>
      </c>
      <c r="V36" s="7">
        <v>9916950205</v>
      </c>
      <c r="W36" s="10" t="s">
        <v>55</v>
      </c>
      <c r="X36" s="7" t="s">
        <v>56</v>
      </c>
      <c r="Y36" s="10" t="s">
        <v>57</v>
      </c>
      <c r="Z36" s="7" t="s">
        <v>35</v>
      </c>
      <c r="AA36" s="10" t="s">
        <v>36</v>
      </c>
      <c r="AB36" s="11">
        <f t="shared" si="0"/>
        <v>0.37306640000000002</v>
      </c>
    </row>
    <row r="37" spans="1:28" x14ac:dyDescent="0.35">
      <c r="A37" s="4">
        <v>4585</v>
      </c>
      <c r="B37" s="5" t="s">
        <v>52</v>
      </c>
      <c r="C37" s="6">
        <v>43647</v>
      </c>
      <c r="D37" s="7">
        <v>141</v>
      </c>
      <c r="E37" s="8" t="s">
        <v>38</v>
      </c>
      <c r="F37" s="7" t="s">
        <v>125</v>
      </c>
      <c r="G37" s="10" t="s">
        <v>126</v>
      </c>
      <c r="H37" s="7" t="str">
        <f>"000153"</f>
        <v>000153</v>
      </c>
      <c r="I37" s="6">
        <v>43131</v>
      </c>
      <c r="J37" s="7" t="str">
        <f>"000094"</f>
        <v>000094</v>
      </c>
      <c r="K37" s="6">
        <v>43131</v>
      </c>
      <c r="L37" s="7" t="str">
        <f>"000156"</f>
        <v>000156</v>
      </c>
      <c r="M37" s="6">
        <v>43131</v>
      </c>
      <c r="N37" s="7">
        <v>16</v>
      </c>
      <c r="O37" s="7" t="str">
        <f>"003213"</f>
        <v>003213</v>
      </c>
      <c r="P37" s="6">
        <v>43643</v>
      </c>
      <c r="Q37" s="11">
        <v>10.494429999999999</v>
      </c>
      <c r="R37" s="11">
        <v>1.1333800000000001</v>
      </c>
      <c r="S37" s="11">
        <v>9.3610500000000005</v>
      </c>
      <c r="T37" s="7">
        <v>96</v>
      </c>
      <c r="U37" s="6">
        <v>43647</v>
      </c>
      <c r="V37" s="7">
        <v>9916950205</v>
      </c>
      <c r="W37" s="10" t="s">
        <v>55</v>
      </c>
      <c r="X37" s="7" t="s">
        <v>109</v>
      </c>
      <c r="Y37" s="10" t="s">
        <v>110</v>
      </c>
      <c r="Z37" s="7" t="s">
        <v>35</v>
      </c>
      <c r="AA37" s="10" t="s">
        <v>36</v>
      </c>
      <c r="AB37" s="11">
        <f t="shared" si="0"/>
        <v>0.10494429999999999</v>
      </c>
    </row>
    <row r="38" spans="1:28" x14ac:dyDescent="0.35">
      <c r="A38" s="4">
        <v>4586</v>
      </c>
      <c r="B38" s="5" t="s">
        <v>52</v>
      </c>
      <c r="C38" s="6">
        <v>43647</v>
      </c>
      <c r="D38" s="7">
        <v>141</v>
      </c>
      <c r="E38" s="8" t="s">
        <v>38</v>
      </c>
      <c r="F38" s="7" t="s">
        <v>127</v>
      </c>
      <c r="G38" s="10" t="s">
        <v>128</v>
      </c>
      <c r="H38" s="7" t="str">
        <f>"000163"</f>
        <v>000163</v>
      </c>
      <c r="I38" s="6">
        <v>43131</v>
      </c>
      <c r="J38" s="7" t="str">
        <f>"000088"</f>
        <v>000088</v>
      </c>
      <c r="K38" s="6">
        <v>43131</v>
      </c>
      <c r="L38" s="7" t="str">
        <f>"000157"</f>
        <v>000157</v>
      </c>
      <c r="M38" s="6">
        <v>43131</v>
      </c>
      <c r="N38" s="7">
        <v>17</v>
      </c>
      <c r="O38" s="7" t="str">
        <f>"003215"</f>
        <v>003215</v>
      </c>
      <c r="P38" s="6">
        <v>43643</v>
      </c>
      <c r="Q38" s="11">
        <v>28.211030000000001</v>
      </c>
      <c r="R38" s="11">
        <v>3.1878500000000001</v>
      </c>
      <c r="S38" s="11">
        <v>25.02318</v>
      </c>
      <c r="T38" s="7">
        <v>96</v>
      </c>
      <c r="U38" s="6">
        <v>43647</v>
      </c>
      <c r="V38" s="7">
        <v>9916950205</v>
      </c>
      <c r="W38" s="10" t="s">
        <v>55</v>
      </c>
      <c r="X38" s="7" t="s">
        <v>69</v>
      </c>
      <c r="Y38" s="10" t="s">
        <v>70</v>
      </c>
      <c r="Z38" s="7" t="s">
        <v>35</v>
      </c>
      <c r="AA38" s="10" t="s">
        <v>36</v>
      </c>
      <c r="AB38" s="11">
        <f t="shared" si="0"/>
        <v>0.28211030000000004</v>
      </c>
    </row>
    <row r="39" spans="1:28" x14ac:dyDescent="0.35">
      <c r="A39" s="4">
        <v>4587</v>
      </c>
      <c r="B39" s="5" t="s">
        <v>52</v>
      </c>
      <c r="C39" s="6">
        <v>43647</v>
      </c>
      <c r="D39" s="7">
        <v>141</v>
      </c>
      <c r="E39" s="8" t="s">
        <v>38</v>
      </c>
      <c r="F39" s="7" t="s">
        <v>129</v>
      </c>
      <c r="G39" s="10" t="s">
        <v>130</v>
      </c>
      <c r="H39" s="7" t="str">
        <f>"000161"</f>
        <v>000161</v>
      </c>
      <c r="I39" s="6">
        <v>43131</v>
      </c>
      <c r="J39" s="7" t="str">
        <f>"000083"</f>
        <v>000083</v>
      </c>
      <c r="K39" s="6">
        <v>43131</v>
      </c>
      <c r="L39" s="7" t="str">
        <f>"000162"</f>
        <v>000162</v>
      </c>
      <c r="M39" s="6">
        <v>43131</v>
      </c>
      <c r="N39" s="7">
        <v>17</v>
      </c>
      <c r="O39" s="7" t="str">
        <f>"003229"</f>
        <v>003229</v>
      </c>
      <c r="P39" s="6">
        <v>43643</v>
      </c>
      <c r="Q39" s="11">
        <v>14.941179999999999</v>
      </c>
      <c r="R39" s="11">
        <v>1.61364</v>
      </c>
      <c r="S39" s="11">
        <v>13.327540000000001</v>
      </c>
      <c r="T39" s="7">
        <v>96</v>
      </c>
      <c r="U39" s="6">
        <v>43647</v>
      </c>
      <c r="V39" s="7">
        <v>9916950205</v>
      </c>
      <c r="W39" s="10" t="s">
        <v>60</v>
      </c>
      <c r="X39" s="7" t="s">
        <v>88</v>
      </c>
      <c r="Y39" s="10" t="s">
        <v>89</v>
      </c>
      <c r="Z39" s="7" t="s">
        <v>35</v>
      </c>
      <c r="AA39" s="10" t="s">
        <v>36</v>
      </c>
      <c r="AB39" s="11">
        <f t="shared" si="0"/>
        <v>0.14941179999999998</v>
      </c>
    </row>
    <row r="40" spans="1:28" x14ac:dyDescent="0.35">
      <c r="A40" s="4">
        <v>4588</v>
      </c>
      <c r="B40" s="5" t="s">
        <v>52</v>
      </c>
      <c r="C40" s="6">
        <v>43654</v>
      </c>
      <c r="D40" s="7">
        <v>141</v>
      </c>
      <c r="E40" s="8" t="s">
        <v>38</v>
      </c>
      <c r="F40" s="7" t="s">
        <v>131</v>
      </c>
      <c r="G40" s="10" t="s">
        <v>132</v>
      </c>
      <c r="H40" s="7" t="str">
        <f>"000162"</f>
        <v>000162</v>
      </c>
      <c r="I40" s="6">
        <v>43131</v>
      </c>
      <c r="J40" s="7" t="str">
        <f>"000082"</f>
        <v>000082</v>
      </c>
      <c r="K40" s="6">
        <v>43131</v>
      </c>
      <c r="L40" s="7" t="str">
        <f>"000165"</f>
        <v>000165</v>
      </c>
      <c r="M40" s="6">
        <v>43131</v>
      </c>
      <c r="N40" s="7">
        <v>17</v>
      </c>
      <c r="O40" s="7" t="str">
        <f>"003321"</f>
        <v>003321</v>
      </c>
      <c r="P40" s="6">
        <v>43650</v>
      </c>
      <c r="Q40" s="11">
        <v>28.344169999999998</v>
      </c>
      <c r="R40" s="11">
        <v>3.2028799999999999</v>
      </c>
      <c r="S40" s="11">
        <v>25.141290000000001</v>
      </c>
      <c r="T40" s="7">
        <v>108</v>
      </c>
      <c r="U40" s="6">
        <v>43654</v>
      </c>
      <c r="V40" s="7">
        <v>9916950205</v>
      </c>
      <c r="W40" s="10" t="s">
        <v>55</v>
      </c>
      <c r="X40" s="7" t="s">
        <v>69</v>
      </c>
      <c r="Y40" s="10" t="s">
        <v>70</v>
      </c>
      <c r="Z40" s="7" t="s">
        <v>35</v>
      </c>
      <c r="AA40" s="10" t="s">
        <v>36</v>
      </c>
      <c r="AB40" s="11">
        <f t="shared" si="0"/>
        <v>0.28344169999999996</v>
      </c>
    </row>
    <row r="41" spans="1:28" x14ac:dyDescent="0.35">
      <c r="A41" s="4">
        <v>4589</v>
      </c>
      <c r="B41" s="5" t="s">
        <v>52</v>
      </c>
      <c r="C41" s="6">
        <v>43668</v>
      </c>
      <c r="D41" s="7">
        <v>141</v>
      </c>
      <c r="E41" s="8" t="s">
        <v>38</v>
      </c>
      <c r="F41" s="7" t="s">
        <v>133</v>
      </c>
      <c r="G41" s="10" t="s">
        <v>134</v>
      </c>
      <c r="H41" s="7" t="str">
        <f>"000144"</f>
        <v>000144</v>
      </c>
      <c r="I41" s="6">
        <v>41950</v>
      </c>
      <c r="J41" s="7" t="str">
        <f>"000145"</f>
        <v>000145</v>
      </c>
      <c r="K41" s="6">
        <v>41970</v>
      </c>
      <c r="L41" s="7" t="str">
        <f>"000573"</f>
        <v>000573</v>
      </c>
      <c r="M41" s="6">
        <v>41972</v>
      </c>
      <c r="N41" s="7">
        <v>14</v>
      </c>
      <c r="O41" s="7" t="str">
        <f>"003738"</f>
        <v>003738</v>
      </c>
      <c r="P41" s="6">
        <v>43664</v>
      </c>
      <c r="Q41" s="11">
        <v>20.966439999999999</v>
      </c>
      <c r="R41" s="11">
        <v>2.9448500000000002</v>
      </c>
      <c r="S41" s="11">
        <v>18.02159</v>
      </c>
      <c r="T41" s="7">
        <v>121</v>
      </c>
      <c r="U41" s="6">
        <v>43668</v>
      </c>
      <c r="V41" s="7">
        <v>9945417770</v>
      </c>
      <c r="W41" s="10" t="s">
        <v>135</v>
      </c>
      <c r="X41" s="7" t="s">
        <v>29</v>
      </c>
      <c r="Y41" s="10" t="s">
        <v>30</v>
      </c>
      <c r="Z41" s="7" t="s">
        <v>35</v>
      </c>
      <c r="AA41" s="10" t="s">
        <v>36</v>
      </c>
      <c r="AB41" s="11">
        <f t="shared" si="0"/>
        <v>0.20966439999999997</v>
      </c>
    </row>
    <row r="42" spans="1:28" x14ac:dyDescent="0.35">
      <c r="A42" s="4">
        <v>4590</v>
      </c>
      <c r="B42" s="5" t="s">
        <v>52</v>
      </c>
      <c r="C42" s="6">
        <v>43668</v>
      </c>
      <c r="D42" s="7">
        <v>141</v>
      </c>
      <c r="E42" s="8" t="s">
        <v>38</v>
      </c>
      <c r="F42" s="7" t="s">
        <v>136</v>
      </c>
      <c r="G42" s="10" t="s">
        <v>137</v>
      </c>
      <c r="H42" s="7" t="str">
        <f>"000147"</f>
        <v>000147</v>
      </c>
      <c r="I42" s="6">
        <v>41950</v>
      </c>
      <c r="J42" s="7" t="str">
        <f>"000146"</f>
        <v>000146</v>
      </c>
      <c r="K42" s="6">
        <v>41970</v>
      </c>
      <c r="L42" s="7" t="str">
        <f>"000567"</f>
        <v>000567</v>
      </c>
      <c r="M42" s="6">
        <v>41972</v>
      </c>
      <c r="N42" s="7">
        <v>13</v>
      </c>
      <c r="O42" s="7" t="str">
        <f>"003739"</f>
        <v>003739</v>
      </c>
      <c r="P42" s="6">
        <v>43664</v>
      </c>
      <c r="Q42" s="11">
        <v>9.5781100000000006</v>
      </c>
      <c r="R42" s="11">
        <v>1.2573099999999999</v>
      </c>
      <c r="S42" s="11">
        <v>8.3208000000000002</v>
      </c>
      <c r="T42" s="7">
        <v>121</v>
      </c>
      <c r="U42" s="6">
        <v>43668</v>
      </c>
      <c r="V42" s="7">
        <v>9945417770</v>
      </c>
      <c r="W42" s="10" t="s">
        <v>138</v>
      </c>
      <c r="X42" s="7" t="s">
        <v>29</v>
      </c>
      <c r="Y42" s="10" t="s">
        <v>30</v>
      </c>
      <c r="Z42" s="7" t="s">
        <v>35</v>
      </c>
      <c r="AA42" s="10" t="s">
        <v>36</v>
      </c>
      <c r="AB42" s="11">
        <f t="shared" si="0"/>
        <v>9.5781100000000008E-2</v>
      </c>
    </row>
    <row r="43" spans="1:28" x14ac:dyDescent="0.35">
      <c r="A43" s="4">
        <v>4591</v>
      </c>
      <c r="B43" s="5" t="s">
        <v>52</v>
      </c>
      <c r="C43" s="6">
        <v>43668</v>
      </c>
      <c r="D43" s="7">
        <v>141</v>
      </c>
      <c r="E43" s="8" t="s">
        <v>38</v>
      </c>
      <c r="F43" s="7" t="s">
        <v>139</v>
      </c>
      <c r="G43" s="10" t="s">
        <v>140</v>
      </c>
      <c r="H43" s="7" t="str">
        <f>"000143"</f>
        <v>000143</v>
      </c>
      <c r="I43" s="6">
        <v>41950</v>
      </c>
      <c r="J43" s="7" t="str">
        <f>"000143"</f>
        <v>000143</v>
      </c>
      <c r="K43" s="6">
        <v>41970</v>
      </c>
      <c r="L43" s="7" t="str">
        <f>"000568"</f>
        <v>000568</v>
      </c>
      <c r="M43" s="6">
        <v>41972</v>
      </c>
      <c r="N43" s="7">
        <v>14</v>
      </c>
      <c r="O43" s="7" t="str">
        <f>"003740"</f>
        <v>003740</v>
      </c>
      <c r="P43" s="6">
        <v>43664</v>
      </c>
      <c r="Q43" s="11">
        <v>16.776199999999999</v>
      </c>
      <c r="R43" s="11">
        <v>2.2813300000000001</v>
      </c>
      <c r="S43" s="11">
        <v>14.494870000000001</v>
      </c>
      <c r="T43" s="7">
        <v>121</v>
      </c>
      <c r="U43" s="6">
        <v>43668</v>
      </c>
      <c r="V43" s="7">
        <v>9945417770</v>
      </c>
      <c r="W43" s="10" t="s">
        <v>141</v>
      </c>
      <c r="X43" s="7" t="s">
        <v>29</v>
      </c>
      <c r="Y43" s="10" t="s">
        <v>30</v>
      </c>
      <c r="Z43" s="7" t="s">
        <v>35</v>
      </c>
      <c r="AA43" s="10" t="s">
        <v>36</v>
      </c>
      <c r="AB43" s="11">
        <f t="shared" si="0"/>
        <v>0.16776199999999999</v>
      </c>
    </row>
    <row r="44" spans="1:28" x14ac:dyDescent="0.35">
      <c r="A44" s="4">
        <v>4592</v>
      </c>
      <c r="B44" s="5" t="s">
        <v>52</v>
      </c>
      <c r="C44" s="6">
        <v>43668</v>
      </c>
      <c r="D44" s="7">
        <v>141</v>
      </c>
      <c r="E44" s="8" t="s">
        <v>38</v>
      </c>
      <c r="F44" s="7" t="s">
        <v>142</v>
      </c>
      <c r="G44" s="10" t="s">
        <v>143</v>
      </c>
      <c r="H44" s="7" t="str">
        <f>"000145"</f>
        <v>000145</v>
      </c>
      <c r="I44" s="6">
        <v>41950</v>
      </c>
      <c r="J44" s="7" t="str">
        <f>"000148"</f>
        <v>000148</v>
      </c>
      <c r="K44" s="6">
        <v>41970</v>
      </c>
      <c r="L44" s="7" t="str">
        <f>"000569"</f>
        <v>000569</v>
      </c>
      <c r="M44" s="6">
        <v>41972</v>
      </c>
      <c r="N44" s="7">
        <v>13</v>
      </c>
      <c r="O44" s="7" t="str">
        <f>"003741"</f>
        <v>003741</v>
      </c>
      <c r="P44" s="6">
        <v>43664</v>
      </c>
      <c r="Q44" s="11">
        <v>11.2239</v>
      </c>
      <c r="R44" s="11">
        <v>1.5314399999999999</v>
      </c>
      <c r="S44" s="11">
        <v>9.6924600000000005</v>
      </c>
      <c r="T44" s="7">
        <v>121</v>
      </c>
      <c r="U44" s="6">
        <v>43668</v>
      </c>
      <c r="V44" s="7">
        <v>9945417770</v>
      </c>
      <c r="W44" s="10" t="s">
        <v>144</v>
      </c>
      <c r="X44" s="7" t="s">
        <v>29</v>
      </c>
      <c r="Y44" s="10" t="s">
        <v>30</v>
      </c>
      <c r="Z44" s="7" t="s">
        <v>35</v>
      </c>
      <c r="AA44" s="10" t="s">
        <v>36</v>
      </c>
      <c r="AB44" s="11">
        <f t="shared" si="0"/>
        <v>0.11223900000000001</v>
      </c>
    </row>
    <row r="45" spans="1:28" x14ac:dyDescent="0.35">
      <c r="A45" s="4">
        <v>4593</v>
      </c>
      <c r="B45" s="5" t="s">
        <v>52</v>
      </c>
      <c r="C45" s="6">
        <v>43668</v>
      </c>
      <c r="D45" s="7">
        <v>141</v>
      </c>
      <c r="E45" s="8" t="s">
        <v>38</v>
      </c>
      <c r="F45" s="7" t="s">
        <v>145</v>
      </c>
      <c r="G45" s="10" t="s">
        <v>146</v>
      </c>
      <c r="H45" s="7" t="str">
        <f>"000146"</f>
        <v>000146</v>
      </c>
      <c r="I45" s="6">
        <v>41950</v>
      </c>
      <c r="J45" s="7" t="str">
        <f>"000147"</f>
        <v>000147</v>
      </c>
      <c r="K45" s="6">
        <v>41970</v>
      </c>
      <c r="L45" s="7" t="str">
        <f>"000570"</f>
        <v>000570</v>
      </c>
      <c r="M45" s="6">
        <v>41972</v>
      </c>
      <c r="N45" s="7">
        <v>13</v>
      </c>
      <c r="O45" s="7" t="str">
        <f>"003742"</f>
        <v>003742</v>
      </c>
      <c r="P45" s="6">
        <v>43664</v>
      </c>
      <c r="Q45" s="11">
        <v>10.05836</v>
      </c>
      <c r="R45" s="11">
        <v>1.3308500000000001</v>
      </c>
      <c r="S45" s="11">
        <v>8.7275100000000005</v>
      </c>
      <c r="T45" s="7">
        <v>121</v>
      </c>
      <c r="U45" s="6">
        <v>43668</v>
      </c>
      <c r="V45" s="7">
        <v>9945417770</v>
      </c>
      <c r="W45" s="10" t="s">
        <v>144</v>
      </c>
      <c r="X45" s="7" t="s">
        <v>29</v>
      </c>
      <c r="Y45" s="10" t="s">
        <v>30</v>
      </c>
      <c r="Z45" s="7" t="s">
        <v>35</v>
      </c>
      <c r="AA45" s="10" t="s">
        <v>36</v>
      </c>
      <c r="AB45" s="11">
        <f t="shared" si="0"/>
        <v>0.10058360000000001</v>
      </c>
    </row>
    <row r="46" spans="1:28" x14ac:dyDescent="0.35">
      <c r="A46" s="4">
        <v>4594</v>
      </c>
      <c r="B46" s="5" t="s">
        <v>52</v>
      </c>
      <c r="C46" s="6">
        <v>43668</v>
      </c>
      <c r="D46" s="7">
        <v>141</v>
      </c>
      <c r="E46" s="8" t="s">
        <v>38</v>
      </c>
      <c r="F46" s="7" t="s">
        <v>147</v>
      </c>
      <c r="G46" s="10" t="s">
        <v>148</v>
      </c>
      <c r="H46" s="7" t="str">
        <f>"000055"</f>
        <v>000055</v>
      </c>
      <c r="I46" s="6">
        <v>42111</v>
      </c>
      <c r="J46" s="7" t="str">
        <f>"000055"</f>
        <v>000055</v>
      </c>
      <c r="K46" s="6">
        <v>42133</v>
      </c>
      <c r="L46" s="7" t="str">
        <f>"000152"</f>
        <v>000152</v>
      </c>
      <c r="M46" s="6">
        <v>42154</v>
      </c>
      <c r="N46" s="7">
        <v>15</v>
      </c>
      <c r="O46" s="7" t="str">
        <f>"003743"</f>
        <v>003743</v>
      </c>
      <c r="P46" s="6">
        <v>43664</v>
      </c>
      <c r="Q46" s="11">
        <v>19.581299999999999</v>
      </c>
      <c r="R46" s="11">
        <v>2.7327300000000001</v>
      </c>
      <c r="S46" s="11">
        <v>16.848569999999999</v>
      </c>
      <c r="T46" s="7">
        <v>121</v>
      </c>
      <c r="U46" s="6">
        <v>43668</v>
      </c>
      <c r="V46" s="7">
        <v>9945417770</v>
      </c>
      <c r="W46" s="10" t="s">
        <v>141</v>
      </c>
      <c r="X46" s="7" t="s">
        <v>29</v>
      </c>
      <c r="Y46" s="10" t="s">
        <v>30</v>
      </c>
      <c r="Z46" s="7" t="s">
        <v>35</v>
      </c>
      <c r="AA46" s="10" t="s">
        <v>36</v>
      </c>
      <c r="AB46" s="11">
        <f t="shared" si="0"/>
        <v>0.19581299999999999</v>
      </c>
    </row>
    <row r="47" spans="1:28" x14ac:dyDescent="0.35">
      <c r="A47" s="4">
        <v>4595</v>
      </c>
      <c r="B47" s="5" t="s">
        <v>52</v>
      </c>
      <c r="C47" s="6">
        <v>43668</v>
      </c>
      <c r="D47" s="7">
        <v>141</v>
      </c>
      <c r="E47" s="8" t="s">
        <v>38</v>
      </c>
      <c r="F47" s="7" t="s">
        <v>149</v>
      </c>
      <c r="G47" s="10" t="s">
        <v>150</v>
      </c>
      <c r="H47" s="7" t="str">
        <f>"000148"</f>
        <v>000148</v>
      </c>
      <c r="I47" s="6">
        <v>41950</v>
      </c>
      <c r="J47" s="7" t="str">
        <f>"000144"</f>
        <v>000144</v>
      </c>
      <c r="K47" s="6">
        <v>41970</v>
      </c>
      <c r="L47" s="7" t="str">
        <f>"000566"</f>
        <v>000566</v>
      </c>
      <c r="M47" s="6">
        <v>41972</v>
      </c>
      <c r="N47" s="7">
        <v>14</v>
      </c>
      <c r="O47" s="7" t="str">
        <f>"003764"</f>
        <v>003764</v>
      </c>
      <c r="P47" s="6">
        <v>43664</v>
      </c>
      <c r="Q47" s="11">
        <v>20.963480000000001</v>
      </c>
      <c r="R47" s="11">
        <v>2.9424100000000002</v>
      </c>
      <c r="S47" s="11">
        <v>18.021070000000002</v>
      </c>
      <c r="T47" s="7">
        <v>121</v>
      </c>
      <c r="U47" s="6">
        <v>43668</v>
      </c>
      <c r="V47" s="7">
        <v>9945417770</v>
      </c>
      <c r="W47" s="10" t="s">
        <v>135</v>
      </c>
      <c r="X47" s="7" t="s">
        <v>29</v>
      </c>
      <c r="Y47" s="10" t="s">
        <v>30</v>
      </c>
      <c r="Z47" s="7" t="s">
        <v>35</v>
      </c>
      <c r="AA47" s="10" t="s">
        <v>36</v>
      </c>
      <c r="AB47" s="11">
        <f t="shared" si="0"/>
        <v>0.20963480000000001</v>
      </c>
    </row>
    <row r="48" spans="1:28" x14ac:dyDescent="0.35">
      <c r="A48" s="4">
        <v>4596</v>
      </c>
      <c r="B48" s="5" t="s">
        <v>52</v>
      </c>
      <c r="C48" s="6">
        <v>43669</v>
      </c>
      <c r="D48" s="7">
        <v>141</v>
      </c>
      <c r="E48" s="8" t="s">
        <v>38</v>
      </c>
      <c r="F48" s="7" t="s">
        <v>151</v>
      </c>
      <c r="G48" s="10" t="s">
        <v>152</v>
      </c>
      <c r="H48" s="7" t="str">
        <f>"000095"</f>
        <v>000095</v>
      </c>
      <c r="I48" s="6">
        <v>43116</v>
      </c>
      <c r="J48" s="7" t="str">
        <f>"000043"</f>
        <v>000043</v>
      </c>
      <c r="K48" s="6">
        <v>43117</v>
      </c>
      <c r="L48" s="7" t="str">
        <f>"000177"</f>
        <v>000177</v>
      </c>
      <c r="M48" s="6">
        <v>43135</v>
      </c>
      <c r="N48" s="7">
        <v>17</v>
      </c>
      <c r="O48" s="7" t="str">
        <f>"003496"</f>
        <v>003496</v>
      </c>
      <c r="P48" s="6">
        <v>43663</v>
      </c>
      <c r="Q48" s="11">
        <v>20.865189999999998</v>
      </c>
      <c r="R48" s="11">
        <v>2.4036900000000001</v>
      </c>
      <c r="S48" s="11">
        <v>18.461500000000001</v>
      </c>
      <c r="T48" s="7">
        <v>122</v>
      </c>
      <c r="U48" s="6">
        <v>43669</v>
      </c>
      <c r="V48" s="7">
        <v>9886296777</v>
      </c>
      <c r="W48" s="10" t="s">
        <v>104</v>
      </c>
      <c r="X48" s="7" t="s">
        <v>29</v>
      </c>
      <c r="Y48" s="10" t="s">
        <v>30</v>
      </c>
      <c r="Z48" s="7" t="s">
        <v>35</v>
      </c>
      <c r="AA48" s="10" t="s">
        <v>36</v>
      </c>
      <c r="AB48" s="11">
        <f t="shared" si="0"/>
        <v>0.20865189999999997</v>
      </c>
    </row>
    <row r="49" spans="1:28" x14ac:dyDescent="0.35">
      <c r="A49" s="4">
        <v>4597</v>
      </c>
      <c r="B49" s="5" t="s">
        <v>52</v>
      </c>
      <c r="C49" s="6">
        <v>43669</v>
      </c>
      <c r="D49" s="7">
        <v>141</v>
      </c>
      <c r="E49" s="8" t="s">
        <v>38</v>
      </c>
      <c r="F49" s="7" t="s">
        <v>153</v>
      </c>
      <c r="G49" s="10" t="s">
        <v>154</v>
      </c>
      <c r="H49" s="7" t="str">
        <f>"000149"</f>
        <v>000149</v>
      </c>
      <c r="I49" s="6">
        <v>43131</v>
      </c>
      <c r="J49" s="7" t="str">
        <f>""</f>
        <v/>
      </c>
      <c r="K49" s="7"/>
      <c r="L49" s="7" t="str">
        <f>""</f>
        <v/>
      </c>
      <c r="M49" s="7"/>
      <c r="N49" s="7">
        <v>16</v>
      </c>
      <c r="O49" s="7" t="str">
        <f>""</f>
        <v/>
      </c>
      <c r="P49" s="7"/>
      <c r="Q49" s="11">
        <v>10.40962</v>
      </c>
      <c r="R49" s="11">
        <v>1.12426</v>
      </c>
      <c r="S49" s="11">
        <v>9.2853600000000007</v>
      </c>
      <c r="T49" s="7">
        <v>122</v>
      </c>
      <c r="U49" s="6">
        <v>43669</v>
      </c>
      <c r="V49" s="7">
        <v>9916950205</v>
      </c>
      <c r="W49" s="10" t="s">
        <v>55</v>
      </c>
      <c r="X49" s="7" t="s">
        <v>109</v>
      </c>
      <c r="Y49" s="10" t="s">
        <v>110</v>
      </c>
      <c r="Z49" s="7" t="s">
        <v>35</v>
      </c>
      <c r="AA49" s="10" t="s">
        <v>36</v>
      </c>
      <c r="AB49" s="11">
        <f t="shared" si="0"/>
        <v>0.1040962</v>
      </c>
    </row>
    <row r="50" spans="1:28" x14ac:dyDescent="0.35">
      <c r="A50" s="4">
        <v>4598</v>
      </c>
      <c r="B50" s="5" t="s">
        <v>52</v>
      </c>
      <c r="C50" s="6">
        <v>43669</v>
      </c>
      <c r="D50" s="7">
        <v>141</v>
      </c>
      <c r="E50" s="8" t="s">
        <v>38</v>
      </c>
      <c r="F50" s="7" t="s">
        <v>155</v>
      </c>
      <c r="G50" s="10" t="s">
        <v>156</v>
      </c>
      <c r="H50" s="7" t="str">
        <f>"000188"</f>
        <v>000188</v>
      </c>
      <c r="I50" s="6">
        <v>43137</v>
      </c>
      <c r="J50" s="7" t="str">
        <f>"000112"</f>
        <v>000112</v>
      </c>
      <c r="K50" s="6">
        <v>43137</v>
      </c>
      <c r="L50" s="7" t="str">
        <f>"000182"</f>
        <v>000182</v>
      </c>
      <c r="M50" s="6">
        <v>43137</v>
      </c>
      <c r="N50" s="7">
        <v>17</v>
      </c>
      <c r="O50" s="7" t="str">
        <f>"003498"</f>
        <v>003498</v>
      </c>
      <c r="P50" s="6">
        <v>43663</v>
      </c>
      <c r="Q50" s="11">
        <v>10.49357</v>
      </c>
      <c r="R50" s="11">
        <v>1.13331</v>
      </c>
      <c r="S50" s="11">
        <v>9.3602600000000002</v>
      </c>
      <c r="T50" s="7">
        <v>122</v>
      </c>
      <c r="U50" s="6">
        <v>43669</v>
      </c>
      <c r="V50" s="7">
        <v>9916950205</v>
      </c>
      <c r="W50" s="10" t="s">
        <v>157</v>
      </c>
      <c r="X50" s="7" t="s">
        <v>56</v>
      </c>
      <c r="Y50" s="10" t="s">
        <v>57</v>
      </c>
      <c r="Z50" s="7" t="s">
        <v>35</v>
      </c>
      <c r="AA50" s="10" t="s">
        <v>36</v>
      </c>
      <c r="AB50" s="11">
        <f t="shared" si="0"/>
        <v>0.10493570000000001</v>
      </c>
    </row>
    <row r="51" spans="1:28" x14ac:dyDescent="0.35">
      <c r="A51" s="4">
        <v>4599</v>
      </c>
      <c r="B51" s="5" t="s">
        <v>52</v>
      </c>
      <c r="C51" s="6">
        <v>43669</v>
      </c>
      <c r="D51" s="7">
        <v>141</v>
      </c>
      <c r="E51" s="8" t="s">
        <v>38</v>
      </c>
      <c r="F51" s="7" t="s">
        <v>158</v>
      </c>
      <c r="G51" s="10" t="s">
        <v>159</v>
      </c>
      <c r="H51" s="7" t="str">
        <f>"000093"</f>
        <v>000093</v>
      </c>
      <c r="I51" s="6">
        <v>43116</v>
      </c>
      <c r="J51" s="7" t="str">
        <f>"000040"</f>
        <v>000040</v>
      </c>
      <c r="K51" s="6">
        <v>43117</v>
      </c>
      <c r="L51" s="7" t="str">
        <f>"000119"</f>
        <v>000119</v>
      </c>
      <c r="M51" s="6">
        <v>43121</v>
      </c>
      <c r="N51" s="7">
        <v>17</v>
      </c>
      <c r="O51" s="7" t="str">
        <f>"003630"</f>
        <v>003630</v>
      </c>
      <c r="P51" s="6">
        <v>43664</v>
      </c>
      <c r="Q51" s="11">
        <v>20.808710000000001</v>
      </c>
      <c r="R51" s="11">
        <v>2.3966799999999999</v>
      </c>
      <c r="S51" s="11">
        <v>18.412030000000001</v>
      </c>
      <c r="T51" s="7">
        <v>122</v>
      </c>
      <c r="U51" s="6">
        <v>43669</v>
      </c>
      <c r="V51" s="7">
        <v>9886296777</v>
      </c>
      <c r="W51" s="10" t="s">
        <v>104</v>
      </c>
      <c r="X51" s="7" t="s">
        <v>29</v>
      </c>
      <c r="Y51" s="10" t="s">
        <v>30</v>
      </c>
      <c r="Z51" s="7" t="s">
        <v>35</v>
      </c>
      <c r="AA51" s="10" t="s">
        <v>36</v>
      </c>
      <c r="AB51" s="11">
        <f t="shared" si="0"/>
        <v>0.20808710000000002</v>
      </c>
    </row>
    <row r="52" spans="1:28" x14ac:dyDescent="0.35">
      <c r="A52" s="4">
        <v>4600</v>
      </c>
      <c r="B52" s="5" t="s">
        <v>52</v>
      </c>
      <c r="C52" s="6">
        <v>43677</v>
      </c>
      <c r="D52" s="7">
        <v>141</v>
      </c>
      <c r="E52" s="8" t="s">
        <v>38</v>
      </c>
      <c r="F52" s="7" t="s">
        <v>160</v>
      </c>
      <c r="G52" s="10" t="s">
        <v>161</v>
      </c>
      <c r="H52" s="7" t="str">
        <f>"000211"</f>
        <v>000211</v>
      </c>
      <c r="I52" s="6">
        <v>43150</v>
      </c>
      <c r="J52" s="7" t="str">
        <f>"000128"</f>
        <v>000128</v>
      </c>
      <c r="K52" s="6">
        <v>43151</v>
      </c>
      <c r="L52" s="7" t="str">
        <f>"000192"</f>
        <v>000192</v>
      </c>
      <c r="M52" s="6">
        <v>43151</v>
      </c>
      <c r="N52" s="7">
        <v>18</v>
      </c>
      <c r="O52" s="7" t="str">
        <f>"003963"</f>
        <v>003963</v>
      </c>
      <c r="P52" s="6">
        <v>43670</v>
      </c>
      <c r="Q52" s="11">
        <v>27.748090000000001</v>
      </c>
      <c r="R52" s="11">
        <v>3.4130199999999999</v>
      </c>
      <c r="S52" s="11">
        <v>24.335070000000002</v>
      </c>
      <c r="T52" s="7">
        <v>135</v>
      </c>
      <c r="U52" s="6">
        <v>43677</v>
      </c>
      <c r="V52" s="7">
        <v>9916950205</v>
      </c>
      <c r="W52" s="10" t="s">
        <v>162</v>
      </c>
      <c r="X52" s="7" t="s">
        <v>109</v>
      </c>
      <c r="Y52" s="10" t="s">
        <v>110</v>
      </c>
      <c r="Z52" s="7" t="s">
        <v>35</v>
      </c>
      <c r="AA52" s="10" t="s">
        <v>36</v>
      </c>
      <c r="AB52" s="11">
        <f t="shared" si="0"/>
        <v>0.27748090000000003</v>
      </c>
    </row>
    <row r="53" spans="1:28" x14ac:dyDescent="0.35">
      <c r="A53" s="4">
        <v>4601</v>
      </c>
      <c r="B53" s="5" t="s">
        <v>163</v>
      </c>
      <c r="C53" s="6">
        <v>43704</v>
      </c>
      <c r="D53" s="7">
        <v>141</v>
      </c>
      <c r="E53" s="8" t="s">
        <v>38</v>
      </c>
      <c r="F53" s="7" t="s">
        <v>164</v>
      </c>
      <c r="G53" s="10" t="s">
        <v>165</v>
      </c>
      <c r="H53" s="7" t="str">
        <f>"000248"</f>
        <v>000248</v>
      </c>
      <c r="I53" s="6">
        <v>43182</v>
      </c>
      <c r="J53" s="7" t="str">
        <f>"000160"</f>
        <v>000160</v>
      </c>
      <c r="K53" s="6">
        <v>43182</v>
      </c>
      <c r="L53" s="7" t="str">
        <f>"000240"</f>
        <v>000240</v>
      </c>
      <c r="M53" s="6">
        <v>43182</v>
      </c>
      <c r="N53" s="7">
        <v>17</v>
      </c>
      <c r="O53" s="7" t="str">
        <f>"004514"</f>
        <v>004514</v>
      </c>
      <c r="P53" s="6">
        <v>43693</v>
      </c>
      <c r="Q53" s="11">
        <v>20.602889999999999</v>
      </c>
      <c r="R53" s="11">
        <v>2.3281299999999998</v>
      </c>
      <c r="S53" s="11">
        <v>18.274760000000001</v>
      </c>
      <c r="T53" s="7">
        <v>166</v>
      </c>
      <c r="U53" s="6">
        <v>43704</v>
      </c>
      <c r="V53" s="7">
        <v>9916950205</v>
      </c>
      <c r="W53" s="10" t="s">
        <v>166</v>
      </c>
      <c r="X53" s="7" t="s">
        <v>69</v>
      </c>
      <c r="Y53" s="10" t="s">
        <v>70</v>
      </c>
      <c r="Z53" s="7" t="s">
        <v>35</v>
      </c>
      <c r="AA53" s="10" t="s">
        <v>36</v>
      </c>
      <c r="AB53" s="11">
        <f t="shared" si="0"/>
        <v>0.20602889999999999</v>
      </c>
    </row>
    <row r="54" spans="1:28" x14ac:dyDescent="0.35">
      <c r="A54" s="4">
        <v>4602</v>
      </c>
      <c r="B54" s="5" t="s">
        <v>167</v>
      </c>
      <c r="C54" s="6">
        <v>43733</v>
      </c>
      <c r="D54" s="7">
        <v>141</v>
      </c>
      <c r="E54" s="8" t="s">
        <v>38</v>
      </c>
      <c r="F54" s="7" t="s">
        <v>168</v>
      </c>
      <c r="G54" s="10" t="s">
        <v>169</v>
      </c>
      <c r="H54" s="7" t="str">
        <f>"000197"</f>
        <v>000197</v>
      </c>
      <c r="I54" s="6">
        <v>43365</v>
      </c>
      <c r="J54" s="7" t="str">
        <f>"000091"</f>
        <v>000091</v>
      </c>
      <c r="K54" s="6">
        <v>43675</v>
      </c>
      <c r="L54" s="7" t="str">
        <f>"000135"</f>
        <v>000135</v>
      </c>
      <c r="M54" s="6">
        <v>43676</v>
      </c>
      <c r="N54" s="7">
        <v>18</v>
      </c>
      <c r="O54" s="7" t="str">
        <f>"004751"</f>
        <v>004751</v>
      </c>
      <c r="P54" s="6">
        <v>43700</v>
      </c>
      <c r="Q54" s="11">
        <v>19.951139999999999</v>
      </c>
      <c r="R54" s="11">
        <v>2.2967300000000002</v>
      </c>
      <c r="S54" s="11">
        <v>17.654409999999999</v>
      </c>
      <c r="T54" s="7">
        <v>201</v>
      </c>
      <c r="U54" s="6">
        <v>43733</v>
      </c>
      <c r="V54" s="7">
        <v>9945322299</v>
      </c>
      <c r="W54" s="10" t="s">
        <v>34</v>
      </c>
      <c r="X54" s="7" t="s">
        <v>32</v>
      </c>
      <c r="Y54" s="10" t="s">
        <v>33</v>
      </c>
      <c r="Z54" s="7" t="s">
        <v>35</v>
      </c>
      <c r="AA54" s="10" t="s">
        <v>36</v>
      </c>
      <c r="AB54" s="11">
        <f t="shared" si="0"/>
        <v>0.19951139999999998</v>
      </c>
    </row>
    <row r="55" spans="1:28" x14ac:dyDescent="0.35">
      <c r="A55" s="4">
        <v>4603</v>
      </c>
      <c r="B55" s="5" t="s">
        <v>167</v>
      </c>
      <c r="C55" s="6">
        <v>43738</v>
      </c>
      <c r="D55" s="7">
        <v>141</v>
      </c>
      <c r="E55" s="8" t="s">
        <v>38</v>
      </c>
      <c r="F55" s="7" t="s">
        <v>170</v>
      </c>
      <c r="G55" s="10" t="s">
        <v>171</v>
      </c>
      <c r="H55" s="7" t="str">
        <f>"000060"</f>
        <v>000060</v>
      </c>
      <c r="I55" s="6">
        <v>43677</v>
      </c>
      <c r="J55" s="7" t="str">
        <f>"000094"</f>
        <v>000094</v>
      </c>
      <c r="K55" s="6">
        <v>43721</v>
      </c>
      <c r="L55" s="7" t="str">
        <f>"000142"</f>
        <v>000142</v>
      </c>
      <c r="M55" s="6">
        <v>43721</v>
      </c>
      <c r="N55" s="7">
        <v>19</v>
      </c>
      <c r="O55" s="7" t="str">
        <f>"005383"</f>
        <v>005383</v>
      </c>
      <c r="P55" s="6">
        <v>43729</v>
      </c>
      <c r="Q55" s="11">
        <v>24.99466</v>
      </c>
      <c r="R55" s="11">
        <v>2.49946</v>
      </c>
      <c r="S55" s="11">
        <v>22.495200000000001</v>
      </c>
      <c r="T55" s="7">
        <v>207</v>
      </c>
      <c r="U55" s="6">
        <v>43738</v>
      </c>
      <c r="V55" s="7">
        <v>7090244094</v>
      </c>
      <c r="W55" s="10" t="s">
        <v>162</v>
      </c>
      <c r="X55" s="7" t="s">
        <v>172</v>
      </c>
      <c r="Y55" s="10" t="s">
        <v>173</v>
      </c>
      <c r="Z55" s="7" t="s">
        <v>35</v>
      </c>
      <c r="AA55" s="10" t="s">
        <v>36</v>
      </c>
      <c r="AB55" s="11">
        <f t="shared" si="0"/>
        <v>0.24994659999999999</v>
      </c>
    </row>
    <row r="56" spans="1:28" x14ac:dyDescent="0.35">
      <c r="A56" s="4">
        <v>4604</v>
      </c>
      <c r="B56" s="5" t="s">
        <v>167</v>
      </c>
      <c r="C56" s="6">
        <v>43738</v>
      </c>
      <c r="D56" s="7">
        <v>141</v>
      </c>
      <c r="E56" s="8" t="s">
        <v>38</v>
      </c>
      <c r="F56" s="7" t="s">
        <v>174</v>
      </c>
      <c r="G56" s="10" t="s">
        <v>175</v>
      </c>
      <c r="H56" s="7" t="str">
        <f>"000054"</f>
        <v>000054</v>
      </c>
      <c r="I56" s="6">
        <v>43677</v>
      </c>
      <c r="J56" s="7" t="str">
        <f>"000095"</f>
        <v>000095</v>
      </c>
      <c r="K56" s="6">
        <v>43721</v>
      </c>
      <c r="L56" s="7" t="str">
        <f>"000143"</f>
        <v>000143</v>
      </c>
      <c r="M56" s="6">
        <v>43721</v>
      </c>
      <c r="N56" s="7">
        <v>19</v>
      </c>
      <c r="O56" s="7" t="str">
        <f>"005397"</f>
        <v>005397</v>
      </c>
      <c r="P56" s="6">
        <v>43731</v>
      </c>
      <c r="Q56" s="11">
        <v>19.997720000000001</v>
      </c>
      <c r="R56" s="11">
        <v>1.89978</v>
      </c>
      <c r="S56" s="11">
        <v>18.097940000000001</v>
      </c>
      <c r="T56" s="7">
        <v>207</v>
      </c>
      <c r="U56" s="6">
        <v>43738</v>
      </c>
      <c r="V56" s="7">
        <v>9739038754</v>
      </c>
      <c r="W56" s="10" t="s">
        <v>34</v>
      </c>
      <c r="X56" s="7" t="s">
        <v>176</v>
      </c>
      <c r="Y56" s="10" t="s">
        <v>177</v>
      </c>
      <c r="Z56" s="7" t="s">
        <v>35</v>
      </c>
      <c r="AA56" s="10" t="s">
        <v>36</v>
      </c>
      <c r="AB56" s="11">
        <f t="shared" si="0"/>
        <v>0.19997720000000002</v>
      </c>
    </row>
    <row r="57" spans="1:28" x14ac:dyDescent="0.35">
      <c r="A57" s="4">
        <v>4605</v>
      </c>
      <c r="B57" s="5" t="s">
        <v>178</v>
      </c>
      <c r="C57" s="6">
        <v>43752</v>
      </c>
      <c r="D57" s="4">
        <v>141</v>
      </c>
      <c r="E57" s="8" t="s">
        <v>38</v>
      </c>
      <c r="F57" s="7" t="s">
        <v>179</v>
      </c>
      <c r="G57" s="8" t="s">
        <v>180</v>
      </c>
      <c r="H57" s="7" t="str">
        <f>"000027"</f>
        <v>000027</v>
      </c>
      <c r="I57" s="6">
        <v>43217</v>
      </c>
      <c r="J57" s="7" t="str">
        <f>"000050"</f>
        <v>000050</v>
      </c>
      <c r="K57" s="6">
        <v>43218</v>
      </c>
      <c r="L57" s="7" t="str">
        <f>"000068"</f>
        <v>000068</v>
      </c>
      <c r="M57" s="6">
        <v>43218</v>
      </c>
      <c r="N57" s="7">
        <v>18</v>
      </c>
      <c r="O57" s="7" t="str">
        <f>"005568"</f>
        <v>005568</v>
      </c>
      <c r="P57" s="6">
        <v>43739</v>
      </c>
      <c r="Q57" s="9">
        <v>22.193439999999999</v>
      </c>
      <c r="R57" s="9">
        <v>2.7297699999999998</v>
      </c>
      <c r="S57" s="9">
        <v>19.46367</v>
      </c>
      <c r="T57" s="7">
        <v>13</v>
      </c>
      <c r="U57" s="6">
        <v>43752</v>
      </c>
      <c r="V57" s="7">
        <v>9916950205</v>
      </c>
      <c r="W57" s="8" t="s">
        <v>162</v>
      </c>
      <c r="X57" s="7" t="s">
        <v>181</v>
      </c>
      <c r="Y57" s="8" t="s">
        <v>182</v>
      </c>
      <c r="Z57" s="7" t="s">
        <v>35</v>
      </c>
      <c r="AA57" s="8" t="s">
        <v>36</v>
      </c>
      <c r="AB57" s="9">
        <v>0.22193439999999998</v>
      </c>
    </row>
    <row r="58" spans="1:28" x14ac:dyDescent="0.35">
      <c r="A58" s="4">
        <v>4606</v>
      </c>
      <c r="B58" s="5" t="s">
        <v>178</v>
      </c>
      <c r="C58" s="6">
        <v>43752</v>
      </c>
      <c r="D58" s="4">
        <v>141</v>
      </c>
      <c r="E58" s="8" t="s">
        <v>38</v>
      </c>
      <c r="F58" s="7" t="s">
        <v>183</v>
      </c>
      <c r="G58" s="8" t="s">
        <v>184</v>
      </c>
      <c r="H58" s="7" t="str">
        <f>"000062"</f>
        <v>000062</v>
      </c>
      <c r="I58" s="6">
        <v>43677</v>
      </c>
      <c r="J58" s="7" t="str">
        <f>"000115"</f>
        <v>000115</v>
      </c>
      <c r="K58" s="6">
        <v>43731</v>
      </c>
      <c r="L58" s="7" t="str">
        <f>"000152"</f>
        <v>000152</v>
      </c>
      <c r="M58" s="6">
        <v>43732</v>
      </c>
      <c r="N58" s="7">
        <v>19</v>
      </c>
      <c r="O58" s="7" t="str">
        <f>"005756"</f>
        <v>005756</v>
      </c>
      <c r="P58" s="6">
        <v>43749</v>
      </c>
      <c r="Q58" s="9">
        <v>14.99555</v>
      </c>
      <c r="R58" s="9">
        <v>1.42459</v>
      </c>
      <c r="S58" s="9">
        <v>13.570959999999999</v>
      </c>
      <c r="T58" s="7">
        <v>13</v>
      </c>
      <c r="U58" s="6">
        <v>43752</v>
      </c>
      <c r="V58" s="7">
        <v>7090244094</v>
      </c>
      <c r="W58" s="8" t="s">
        <v>162</v>
      </c>
      <c r="X58" s="7" t="s">
        <v>185</v>
      </c>
      <c r="Y58" s="8" t="s">
        <v>186</v>
      </c>
      <c r="Z58" s="7" t="s">
        <v>35</v>
      </c>
      <c r="AA58" s="8" t="s">
        <v>36</v>
      </c>
      <c r="AB58" s="9">
        <v>0.14995549999999999</v>
      </c>
    </row>
    <row r="59" spans="1:28" x14ac:dyDescent="0.35">
      <c r="A59" s="4">
        <v>4607</v>
      </c>
      <c r="B59" s="5" t="s">
        <v>178</v>
      </c>
      <c r="C59" s="6">
        <v>43752</v>
      </c>
      <c r="D59" s="4">
        <v>141</v>
      </c>
      <c r="E59" s="8" t="s">
        <v>38</v>
      </c>
      <c r="F59" s="7" t="s">
        <v>187</v>
      </c>
      <c r="G59" s="8" t="s">
        <v>188</v>
      </c>
      <c r="H59" s="7" t="str">
        <f>"000066"</f>
        <v>000066</v>
      </c>
      <c r="I59" s="6">
        <v>43677</v>
      </c>
      <c r="J59" s="7" t="str">
        <f>"000108"</f>
        <v>000108</v>
      </c>
      <c r="K59" s="6">
        <v>43731</v>
      </c>
      <c r="L59" s="7" t="str">
        <f>"000153"</f>
        <v>000153</v>
      </c>
      <c r="M59" s="6">
        <v>43732</v>
      </c>
      <c r="N59" s="7">
        <v>19</v>
      </c>
      <c r="O59" s="7" t="str">
        <f>"005757"</f>
        <v>005757</v>
      </c>
      <c r="P59" s="6">
        <v>43749</v>
      </c>
      <c r="Q59" s="9">
        <v>4.9987399999999997</v>
      </c>
      <c r="R59" s="9">
        <v>0.44989000000000001</v>
      </c>
      <c r="S59" s="9">
        <v>4.5488499999999998</v>
      </c>
      <c r="T59" s="7">
        <v>13</v>
      </c>
      <c r="U59" s="6">
        <v>43752</v>
      </c>
      <c r="V59" s="7">
        <v>9739038754</v>
      </c>
      <c r="W59" s="8" t="s">
        <v>162</v>
      </c>
      <c r="X59" s="7" t="s">
        <v>189</v>
      </c>
      <c r="Y59" s="8" t="s">
        <v>190</v>
      </c>
      <c r="Z59" s="7" t="s">
        <v>35</v>
      </c>
      <c r="AA59" s="8" t="s">
        <v>36</v>
      </c>
      <c r="AB59" s="9">
        <v>4.9987399999999994E-2</v>
      </c>
    </row>
    <row r="60" spans="1:28" x14ac:dyDescent="0.35">
      <c r="A60" s="4">
        <v>4608</v>
      </c>
      <c r="B60" s="5" t="s">
        <v>178</v>
      </c>
      <c r="C60" s="6">
        <v>43752</v>
      </c>
      <c r="D60" s="4">
        <v>141</v>
      </c>
      <c r="E60" s="8" t="s">
        <v>38</v>
      </c>
      <c r="F60" s="7" t="s">
        <v>191</v>
      </c>
      <c r="G60" s="8" t="s">
        <v>192</v>
      </c>
      <c r="H60" s="7" t="str">
        <f>"000069"</f>
        <v>000069</v>
      </c>
      <c r="I60" s="6">
        <v>43677</v>
      </c>
      <c r="J60" s="7" t="str">
        <f>"000110"</f>
        <v>000110</v>
      </c>
      <c r="K60" s="6">
        <v>43731</v>
      </c>
      <c r="L60" s="7" t="str">
        <f>"000154"</f>
        <v>000154</v>
      </c>
      <c r="M60" s="6">
        <v>43732</v>
      </c>
      <c r="N60" s="7">
        <v>19</v>
      </c>
      <c r="O60" s="7" t="str">
        <f>"005758"</f>
        <v>005758</v>
      </c>
      <c r="P60" s="6">
        <v>43749</v>
      </c>
      <c r="Q60" s="9">
        <v>4.9936999999999996</v>
      </c>
      <c r="R60" s="9">
        <v>0.44943</v>
      </c>
      <c r="S60" s="9">
        <v>4.54427</v>
      </c>
      <c r="T60" s="7">
        <v>13</v>
      </c>
      <c r="U60" s="6">
        <v>43752</v>
      </c>
      <c r="V60" s="7">
        <v>8792382808</v>
      </c>
      <c r="W60" s="8" t="s">
        <v>162</v>
      </c>
      <c r="X60" s="7" t="s">
        <v>193</v>
      </c>
      <c r="Y60" s="8" t="s">
        <v>194</v>
      </c>
      <c r="Z60" s="7" t="s">
        <v>35</v>
      </c>
      <c r="AA60" s="8" t="s">
        <v>36</v>
      </c>
      <c r="AB60" s="9">
        <v>4.9936999999999995E-2</v>
      </c>
    </row>
    <row r="61" spans="1:28" x14ac:dyDescent="0.35">
      <c r="A61" s="4">
        <v>4609</v>
      </c>
      <c r="B61" s="5" t="s">
        <v>178</v>
      </c>
      <c r="C61" s="6">
        <v>43752</v>
      </c>
      <c r="D61" s="4">
        <v>141</v>
      </c>
      <c r="E61" s="8" t="s">
        <v>38</v>
      </c>
      <c r="F61" s="7" t="s">
        <v>195</v>
      </c>
      <c r="G61" s="8" t="s">
        <v>196</v>
      </c>
      <c r="H61" s="7" t="str">
        <f>"000058"</f>
        <v>000058</v>
      </c>
      <c r="I61" s="6">
        <v>43677</v>
      </c>
      <c r="J61" s="7" t="str">
        <f>"000106"</f>
        <v>000106</v>
      </c>
      <c r="K61" s="6">
        <v>43731</v>
      </c>
      <c r="L61" s="7" t="str">
        <f>"000155"</f>
        <v>000155</v>
      </c>
      <c r="M61" s="6">
        <v>43732</v>
      </c>
      <c r="N61" s="7">
        <v>19</v>
      </c>
      <c r="O61" s="7" t="str">
        <f>"005759"</f>
        <v>005759</v>
      </c>
      <c r="P61" s="6">
        <v>43749</v>
      </c>
      <c r="Q61" s="9">
        <v>9.9948800000000002</v>
      </c>
      <c r="R61" s="9">
        <v>0.89953000000000005</v>
      </c>
      <c r="S61" s="9">
        <v>9.0953499999999998</v>
      </c>
      <c r="T61" s="7">
        <v>13</v>
      </c>
      <c r="U61" s="6">
        <v>43752</v>
      </c>
      <c r="V61" s="7">
        <v>9739038754</v>
      </c>
      <c r="W61" s="8" t="s">
        <v>162</v>
      </c>
      <c r="X61" s="7" t="s">
        <v>172</v>
      </c>
      <c r="Y61" s="8" t="s">
        <v>173</v>
      </c>
      <c r="Z61" s="7" t="s">
        <v>35</v>
      </c>
      <c r="AA61" s="8" t="s">
        <v>36</v>
      </c>
      <c r="AB61" s="9">
        <v>9.9948800000000004E-2</v>
      </c>
    </row>
    <row r="62" spans="1:28" x14ac:dyDescent="0.35">
      <c r="A62" s="4">
        <v>4610</v>
      </c>
      <c r="B62" s="5" t="s">
        <v>178</v>
      </c>
      <c r="C62" s="6">
        <v>43752</v>
      </c>
      <c r="D62" s="4">
        <v>141</v>
      </c>
      <c r="E62" s="8" t="s">
        <v>38</v>
      </c>
      <c r="F62" s="7" t="s">
        <v>197</v>
      </c>
      <c r="G62" s="8" t="s">
        <v>198</v>
      </c>
      <c r="H62" s="7" t="str">
        <f>"000068"</f>
        <v>000068</v>
      </c>
      <c r="I62" s="6">
        <v>43677</v>
      </c>
      <c r="J62" s="7" t="str">
        <f>"000114"</f>
        <v>000114</v>
      </c>
      <c r="K62" s="6">
        <v>43731</v>
      </c>
      <c r="L62" s="7" t="str">
        <f>"000156"</f>
        <v>000156</v>
      </c>
      <c r="M62" s="6">
        <v>43732</v>
      </c>
      <c r="N62" s="7">
        <v>19</v>
      </c>
      <c r="O62" s="7" t="str">
        <f>"005760"</f>
        <v>005760</v>
      </c>
      <c r="P62" s="6">
        <v>43749</v>
      </c>
      <c r="Q62" s="9">
        <v>4.9815300000000002</v>
      </c>
      <c r="R62" s="9">
        <v>0.44834000000000002</v>
      </c>
      <c r="S62" s="9">
        <v>4.5331900000000003</v>
      </c>
      <c r="T62" s="7">
        <v>13</v>
      </c>
      <c r="U62" s="6">
        <v>43752</v>
      </c>
      <c r="V62" s="7">
        <v>8792382808</v>
      </c>
      <c r="W62" s="8" t="s">
        <v>162</v>
      </c>
      <c r="X62" s="7" t="s">
        <v>199</v>
      </c>
      <c r="Y62" s="8" t="s">
        <v>200</v>
      </c>
      <c r="Z62" s="7" t="s">
        <v>35</v>
      </c>
      <c r="AA62" s="8" t="s">
        <v>36</v>
      </c>
      <c r="AB62" s="9">
        <v>4.98153E-2</v>
      </c>
    </row>
    <row r="63" spans="1:28" x14ac:dyDescent="0.35">
      <c r="A63" s="4">
        <v>4611</v>
      </c>
      <c r="B63" s="5" t="s">
        <v>178</v>
      </c>
      <c r="C63" s="6">
        <v>43761</v>
      </c>
      <c r="D63" s="4">
        <v>141</v>
      </c>
      <c r="E63" s="8" t="s">
        <v>38</v>
      </c>
      <c r="F63" s="7" t="s">
        <v>201</v>
      </c>
      <c r="G63" s="8" t="s">
        <v>202</v>
      </c>
      <c r="H63" s="7" t="str">
        <f>"000072"</f>
        <v>000072</v>
      </c>
      <c r="I63" s="6">
        <v>43677</v>
      </c>
      <c r="J63" s="7" t="str">
        <f>"000109"</f>
        <v>000109</v>
      </c>
      <c r="K63" s="6">
        <v>43731</v>
      </c>
      <c r="L63" s="7" t="str">
        <f>"000159"</f>
        <v>000159</v>
      </c>
      <c r="M63" s="6">
        <v>43732</v>
      </c>
      <c r="N63" s="7">
        <v>19</v>
      </c>
      <c r="O63" s="7" t="str">
        <f>"005816"</f>
        <v>005816</v>
      </c>
      <c r="P63" s="6">
        <v>43755</v>
      </c>
      <c r="Q63" s="9">
        <v>9.9968599999999999</v>
      </c>
      <c r="R63" s="9">
        <v>0.89971999999999996</v>
      </c>
      <c r="S63" s="9">
        <v>9.0971399999999996</v>
      </c>
      <c r="T63" s="7">
        <v>13</v>
      </c>
      <c r="U63" s="6">
        <v>43761</v>
      </c>
      <c r="V63" s="7">
        <v>7090244094</v>
      </c>
      <c r="W63" s="8" t="s">
        <v>162</v>
      </c>
      <c r="X63" s="7" t="s">
        <v>176</v>
      </c>
      <c r="Y63" s="8" t="s">
        <v>177</v>
      </c>
      <c r="Z63" s="7" t="s">
        <v>35</v>
      </c>
      <c r="AA63" s="8" t="s">
        <v>36</v>
      </c>
      <c r="AB63" s="9">
        <v>9.9968600000000005E-2</v>
      </c>
    </row>
    <row r="64" spans="1:28" x14ac:dyDescent="0.35">
      <c r="A64" s="4">
        <v>4612</v>
      </c>
      <c r="B64" s="5" t="s">
        <v>178</v>
      </c>
      <c r="C64" s="6">
        <v>43761</v>
      </c>
      <c r="D64" s="4">
        <v>141</v>
      </c>
      <c r="E64" s="8" t="s">
        <v>38</v>
      </c>
      <c r="F64" s="7" t="s">
        <v>203</v>
      </c>
      <c r="G64" s="8" t="s">
        <v>204</v>
      </c>
      <c r="H64" s="7" t="str">
        <f>"000056"</f>
        <v>000056</v>
      </c>
      <c r="I64" s="6">
        <v>43677</v>
      </c>
      <c r="J64" s="7" t="str">
        <f>"000111"</f>
        <v>000111</v>
      </c>
      <c r="K64" s="6">
        <v>43731</v>
      </c>
      <c r="L64" s="7" t="str">
        <f>"000158"</f>
        <v>000158</v>
      </c>
      <c r="M64" s="6">
        <v>43732</v>
      </c>
      <c r="N64" s="7">
        <v>19</v>
      </c>
      <c r="O64" s="7" t="str">
        <f>"005817"</f>
        <v>005817</v>
      </c>
      <c r="P64" s="6">
        <v>43755</v>
      </c>
      <c r="Q64" s="9">
        <v>24.998889999999999</v>
      </c>
      <c r="R64" s="9">
        <v>2.4998900000000002</v>
      </c>
      <c r="S64" s="9">
        <v>22.498999999999999</v>
      </c>
      <c r="T64" s="7">
        <v>13</v>
      </c>
      <c r="U64" s="6">
        <v>43761</v>
      </c>
      <c r="V64" s="7">
        <v>9739038754</v>
      </c>
      <c r="W64" s="8" t="s">
        <v>34</v>
      </c>
      <c r="X64" s="7" t="s">
        <v>193</v>
      </c>
      <c r="Y64" s="8" t="s">
        <v>194</v>
      </c>
      <c r="Z64" s="7" t="s">
        <v>35</v>
      </c>
      <c r="AA64" s="8" t="s">
        <v>36</v>
      </c>
      <c r="AB64" s="9">
        <v>0.24998889999999999</v>
      </c>
    </row>
    <row r="65" spans="1:28" x14ac:dyDescent="0.35">
      <c r="A65" s="4">
        <v>4613</v>
      </c>
      <c r="B65" s="5" t="s">
        <v>178</v>
      </c>
      <c r="C65" s="6">
        <v>43761</v>
      </c>
      <c r="D65" s="4">
        <v>141</v>
      </c>
      <c r="E65" s="8" t="s">
        <v>38</v>
      </c>
      <c r="F65" s="7" t="s">
        <v>205</v>
      </c>
      <c r="G65" s="8" t="s">
        <v>206</v>
      </c>
      <c r="H65" s="7" t="str">
        <f>"000053"</f>
        <v>000053</v>
      </c>
      <c r="I65" s="6">
        <v>43677</v>
      </c>
      <c r="J65" s="7" t="str">
        <f>"000107"</f>
        <v>000107</v>
      </c>
      <c r="K65" s="6">
        <v>43731</v>
      </c>
      <c r="L65" s="7" t="str">
        <f>"000160"</f>
        <v>000160</v>
      </c>
      <c r="M65" s="6">
        <v>43732</v>
      </c>
      <c r="N65" s="7">
        <v>19</v>
      </c>
      <c r="O65" s="7" t="str">
        <f>"005818"</f>
        <v>005818</v>
      </c>
      <c r="P65" s="6">
        <v>43755</v>
      </c>
      <c r="Q65" s="9">
        <v>14.99783</v>
      </c>
      <c r="R65" s="9">
        <v>1.4248000000000001</v>
      </c>
      <c r="S65" s="9">
        <v>13.573029999999999</v>
      </c>
      <c r="T65" s="7">
        <v>13</v>
      </c>
      <c r="U65" s="6">
        <v>43761</v>
      </c>
      <c r="V65" s="7">
        <v>9739038754</v>
      </c>
      <c r="W65" s="8" t="s">
        <v>34</v>
      </c>
      <c r="X65" s="7" t="s">
        <v>207</v>
      </c>
      <c r="Y65" s="8" t="s">
        <v>208</v>
      </c>
      <c r="Z65" s="7" t="s">
        <v>35</v>
      </c>
      <c r="AA65" s="8" t="s">
        <v>36</v>
      </c>
      <c r="AB65" s="9">
        <v>0.14997830000000001</v>
      </c>
    </row>
    <row r="66" spans="1:28" x14ac:dyDescent="0.35">
      <c r="A66" s="4">
        <v>4614</v>
      </c>
      <c r="B66" s="5" t="s">
        <v>178</v>
      </c>
      <c r="C66" s="6">
        <v>43761</v>
      </c>
      <c r="D66" s="4">
        <v>141</v>
      </c>
      <c r="E66" s="8" t="s">
        <v>38</v>
      </c>
      <c r="F66" s="7" t="s">
        <v>209</v>
      </c>
      <c r="G66" s="8" t="s">
        <v>210</v>
      </c>
      <c r="H66" s="7" t="str">
        <f>"000065"</f>
        <v>000065</v>
      </c>
      <c r="I66" s="6">
        <v>43677</v>
      </c>
      <c r="J66" s="7" t="str">
        <f>"000116"</f>
        <v>000116</v>
      </c>
      <c r="K66" s="6">
        <v>43731</v>
      </c>
      <c r="L66" s="7" t="str">
        <f>"000161"</f>
        <v>000161</v>
      </c>
      <c r="M66" s="6">
        <v>43732</v>
      </c>
      <c r="N66" s="7">
        <v>19</v>
      </c>
      <c r="O66" s="7" t="str">
        <f>"005819"</f>
        <v>005819</v>
      </c>
      <c r="P66" s="6">
        <v>43755</v>
      </c>
      <c r="Q66" s="9">
        <v>14.991949999999999</v>
      </c>
      <c r="R66" s="9">
        <v>1.42424</v>
      </c>
      <c r="S66" s="9">
        <v>13.56771</v>
      </c>
      <c r="T66" s="7">
        <v>13</v>
      </c>
      <c r="U66" s="6">
        <v>43761</v>
      </c>
      <c r="V66" s="7">
        <v>9739038754</v>
      </c>
      <c r="W66" s="8" t="s">
        <v>162</v>
      </c>
      <c r="X66" s="7" t="s">
        <v>211</v>
      </c>
      <c r="Y66" s="8" t="s">
        <v>212</v>
      </c>
      <c r="Z66" s="7" t="s">
        <v>35</v>
      </c>
      <c r="AA66" s="8" t="s">
        <v>36</v>
      </c>
      <c r="AB66" s="9">
        <v>0.14991949999999998</v>
      </c>
    </row>
    <row r="67" spans="1:28" x14ac:dyDescent="0.35">
      <c r="A67" s="4">
        <v>4615</v>
      </c>
      <c r="B67" s="5" t="s">
        <v>178</v>
      </c>
      <c r="C67" s="6">
        <v>43768</v>
      </c>
      <c r="D67" s="4">
        <v>141</v>
      </c>
      <c r="E67" s="8" t="s">
        <v>38</v>
      </c>
      <c r="F67" s="7" t="s">
        <v>213</v>
      </c>
      <c r="G67" s="8" t="s">
        <v>214</v>
      </c>
      <c r="H67" s="7" t="str">
        <f>"000073"</f>
        <v>000073</v>
      </c>
      <c r="I67" s="6">
        <v>43677</v>
      </c>
      <c r="J67" s="7" t="str">
        <f>"000093"</f>
        <v>000093</v>
      </c>
      <c r="K67" s="6">
        <v>43721</v>
      </c>
      <c r="L67" s="7" t="str">
        <f>"000144"</f>
        <v>000144</v>
      </c>
      <c r="M67" s="6">
        <v>43724</v>
      </c>
      <c r="N67" s="7">
        <v>19</v>
      </c>
      <c r="O67" s="7" t="str">
        <f>"005973"</f>
        <v>005973</v>
      </c>
      <c r="P67" s="6">
        <v>43763</v>
      </c>
      <c r="Q67" s="9">
        <v>79.993049999999997</v>
      </c>
      <c r="R67" s="9">
        <v>7.9992999999999999</v>
      </c>
      <c r="S67" s="9">
        <v>71.993750000000006</v>
      </c>
      <c r="T67" s="7">
        <v>13</v>
      </c>
      <c r="U67" s="6">
        <v>43768</v>
      </c>
      <c r="V67" s="7">
        <v>9739038754</v>
      </c>
      <c r="W67" s="8" t="s">
        <v>162</v>
      </c>
      <c r="X67" s="7" t="s">
        <v>215</v>
      </c>
      <c r="Y67" s="8" t="s">
        <v>216</v>
      </c>
      <c r="Z67" s="7" t="s">
        <v>35</v>
      </c>
      <c r="AA67" s="8" t="s">
        <v>36</v>
      </c>
      <c r="AB67" s="9">
        <v>0.79993049999999999</v>
      </c>
    </row>
    <row r="68" spans="1:28" x14ac:dyDescent="0.35">
      <c r="A68" s="4">
        <v>4616</v>
      </c>
      <c r="B68" s="5" t="s">
        <v>178</v>
      </c>
      <c r="C68" s="6">
        <v>43768</v>
      </c>
      <c r="D68" s="4">
        <v>141</v>
      </c>
      <c r="E68" s="8" t="s">
        <v>38</v>
      </c>
      <c r="F68" s="7" t="s">
        <v>217</v>
      </c>
      <c r="G68" s="8" t="s">
        <v>218</v>
      </c>
      <c r="H68" s="7" t="str">
        <f>"000071"</f>
        <v>000071</v>
      </c>
      <c r="I68" s="6">
        <v>43677</v>
      </c>
      <c r="J68" s="7" t="str">
        <f>"000112"</f>
        <v>000112</v>
      </c>
      <c r="K68" s="6">
        <v>43731</v>
      </c>
      <c r="L68" s="7" t="str">
        <f>"000162"</f>
        <v>000162</v>
      </c>
      <c r="M68" s="6">
        <v>43735</v>
      </c>
      <c r="N68" s="7">
        <v>19</v>
      </c>
      <c r="O68" s="7" t="str">
        <f>"005974"</f>
        <v>005974</v>
      </c>
      <c r="P68" s="6">
        <v>43763</v>
      </c>
      <c r="Q68" s="9">
        <v>49.997259999999997</v>
      </c>
      <c r="R68" s="9">
        <v>4.9997400000000001</v>
      </c>
      <c r="S68" s="9">
        <v>44.997520000000002</v>
      </c>
      <c r="T68" s="7">
        <v>13</v>
      </c>
      <c r="U68" s="6">
        <v>43768</v>
      </c>
      <c r="V68" s="7">
        <v>8792382808</v>
      </c>
      <c r="W68" s="8" t="s">
        <v>162</v>
      </c>
      <c r="X68" s="7" t="s">
        <v>185</v>
      </c>
      <c r="Y68" s="8" t="s">
        <v>186</v>
      </c>
      <c r="Z68" s="7" t="s">
        <v>35</v>
      </c>
      <c r="AA68" s="8" t="s">
        <v>36</v>
      </c>
      <c r="AB68" s="9">
        <v>0.49997259999999999</v>
      </c>
    </row>
    <row r="69" spans="1:28" x14ac:dyDescent="0.35">
      <c r="A69" s="4">
        <v>4617</v>
      </c>
      <c r="B69" s="5" t="s">
        <v>178</v>
      </c>
      <c r="C69" s="6">
        <v>43768</v>
      </c>
      <c r="D69" s="4">
        <v>141</v>
      </c>
      <c r="E69" s="8" t="s">
        <v>38</v>
      </c>
      <c r="F69" s="7" t="s">
        <v>219</v>
      </c>
      <c r="G69" s="8" t="s">
        <v>220</v>
      </c>
      <c r="H69" s="7" t="str">
        <f>"000063"</f>
        <v>000063</v>
      </c>
      <c r="I69" s="6">
        <v>43677</v>
      </c>
      <c r="J69" s="7" t="str">
        <f>"000113"</f>
        <v>000113</v>
      </c>
      <c r="K69" s="6">
        <v>43731</v>
      </c>
      <c r="L69" s="7" t="str">
        <f>"000157"</f>
        <v>000157</v>
      </c>
      <c r="M69" s="6">
        <v>43732</v>
      </c>
      <c r="N69" s="7">
        <v>19</v>
      </c>
      <c r="O69" s="7" t="str">
        <f>"005990"</f>
        <v>005990</v>
      </c>
      <c r="P69" s="6">
        <v>43763</v>
      </c>
      <c r="Q69" s="9">
        <v>19.993939999999998</v>
      </c>
      <c r="R69" s="9">
        <v>1.89943</v>
      </c>
      <c r="S69" s="9">
        <v>18.09451</v>
      </c>
      <c r="T69" s="7">
        <v>13</v>
      </c>
      <c r="U69" s="6">
        <v>43768</v>
      </c>
      <c r="V69" s="7">
        <v>7090244094</v>
      </c>
      <c r="W69" s="8" t="s">
        <v>162</v>
      </c>
      <c r="X69" s="7" t="s">
        <v>215</v>
      </c>
      <c r="Y69" s="8" t="s">
        <v>216</v>
      </c>
      <c r="Z69" s="7" t="s">
        <v>35</v>
      </c>
      <c r="AA69" s="8" t="s">
        <v>36</v>
      </c>
      <c r="AB69" s="9">
        <v>0.19993939999999999</v>
      </c>
    </row>
    <row r="70" spans="1:28" x14ac:dyDescent="0.35">
      <c r="A70" s="4">
        <v>4618</v>
      </c>
      <c r="B70" s="5" t="s">
        <v>221</v>
      </c>
      <c r="C70" s="6">
        <v>43787</v>
      </c>
      <c r="D70" s="4">
        <v>141</v>
      </c>
      <c r="E70" s="8" t="s">
        <v>38</v>
      </c>
      <c r="F70" s="7" t="s">
        <v>222</v>
      </c>
      <c r="G70" s="8" t="s">
        <v>223</v>
      </c>
      <c r="H70" s="7" t="str">
        <f>"000504"</f>
        <v>000504</v>
      </c>
      <c r="I70" s="6">
        <v>43517</v>
      </c>
      <c r="J70" s="7" t="str">
        <f>"000023"</f>
        <v>000023</v>
      </c>
      <c r="K70" s="6">
        <v>43607</v>
      </c>
      <c r="L70" s="7" t="str">
        <f>"000054"</f>
        <v>000054</v>
      </c>
      <c r="M70" s="6">
        <v>43607</v>
      </c>
      <c r="N70" s="7">
        <v>18</v>
      </c>
      <c r="O70" s="7" t="str">
        <f>"006244"</f>
        <v>006244</v>
      </c>
      <c r="P70" s="6">
        <v>43783</v>
      </c>
      <c r="Q70" s="9">
        <v>6.8320999999999996</v>
      </c>
      <c r="R70" s="9">
        <v>0.29963000000000001</v>
      </c>
      <c r="S70" s="9">
        <v>6.53247</v>
      </c>
      <c r="T70" s="7">
        <v>13</v>
      </c>
      <c r="U70" s="6">
        <v>43787</v>
      </c>
      <c r="V70" s="7">
        <v>9886513907</v>
      </c>
      <c r="W70" s="8" t="s">
        <v>224</v>
      </c>
      <c r="X70" s="7" t="s">
        <v>29</v>
      </c>
      <c r="Y70" s="8" t="s">
        <v>30</v>
      </c>
      <c r="Z70" s="7" t="s">
        <v>35</v>
      </c>
      <c r="AA70" s="8" t="s">
        <v>36</v>
      </c>
      <c r="AB70" s="9">
        <v>6.8320999999999993E-2</v>
      </c>
    </row>
    <row r="71" spans="1:28" x14ac:dyDescent="0.35">
      <c r="A71" s="4">
        <v>4619</v>
      </c>
      <c r="B71" s="5" t="s">
        <v>221</v>
      </c>
      <c r="C71" s="6">
        <v>43787</v>
      </c>
      <c r="D71" s="4">
        <v>141</v>
      </c>
      <c r="E71" s="8" t="s">
        <v>38</v>
      </c>
      <c r="F71" s="7" t="s">
        <v>225</v>
      </c>
      <c r="G71" s="8" t="s">
        <v>226</v>
      </c>
      <c r="H71" s="7" t="str">
        <f>"000503"</f>
        <v>000503</v>
      </c>
      <c r="I71" s="6">
        <v>43517</v>
      </c>
      <c r="J71" s="7" t="str">
        <f>"000024"</f>
        <v>000024</v>
      </c>
      <c r="K71" s="6">
        <v>43607</v>
      </c>
      <c r="L71" s="7" t="str">
        <f>"000055"</f>
        <v>000055</v>
      </c>
      <c r="M71" s="6">
        <v>43607</v>
      </c>
      <c r="N71" s="7">
        <v>18</v>
      </c>
      <c r="O71" s="7" t="str">
        <f>"006245"</f>
        <v>006245</v>
      </c>
      <c r="P71" s="6">
        <v>43783</v>
      </c>
      <c r="Q71" s="9">
        <v>6.6431100000000001</v>
      </c>
      <c r="R71" s="9">
        <v>0.29132999999999998</v>
      </c>
      <c r="S71" s="9">
        <v>6.3517799999999998</v>
      </c>
      <c r="T71" s="7">
        <v>13</v>
      </c>
      <c r="U71" s="6">
        <v>43787</v>
      </c>
      <c r="V71" s="7">
        <v>9886513907</v>
      </c>
      <c r="W71" s="8" t="s">
        <v>227</v>
      </c>
      <c r="X71" s="7" t="s">
        <v>29</v>
      </c>
      <c r="Y71" s="8" t="s">
        <v>30</v>
      </c>
      <c r="Z71" s="7" t="s">
        <v>35</v>
      </c>
      <c r="AA71" s="8" t="s">
        <v>36</v>
      </c>
      <c r="AB71" s="9">
        <v>6.6431100000000007E-2</v>
      </c>
    </row>
    <row r="72" spans="1:28" x14ac:dyDescent="0.35">
      <c r="A72" s="4">
        <v>4620</v>
      </c>
      <c r="B72" s="5" t="s">
        <v>228</v>
      </c>
      <c r="C72" s="6">
        <v>43806</v>
      </c>
      <c r="D72" s="4">
        <v>141</v>
      </c>
      <c r="E72" s="8" t="s">
        <v>38</v>
      </c>
      <c r="F72" s="7" t="s">
        <v>229</v>
      </c>
      <c r="G72" s="8" t="s">
        <v>230</v>
      </c>
      <c r="H72" s="7" t="str">
        <f>"000001"</f>
        <v>000001</v>
      </c>
      <c r="I72" s="6">
        <v>43580</v>
      </c>
      <c r="J72" s="7" t="str">
        <f>"000038"</f>
        <v>000038</v>
      </c>
      <c r="K72" s="6">
        <v>43617</v>
      </c>
      <c r="L72" s="7" t="str">
        <f>"000077"</f>
        <v>000077</v>
      </c>
      <c r="M72" s="6">
        <v>43617</v>
      </c>
      <c r="N72" s="7">
        <v>19</v>
      </c>
      <c r="O72" s="7" t="str">
        <f>"006497"</f>
        <v>006497</v>
      </c>
      <c r="P72" s="6">
        <v>43799</v>
      </c>
      <c r="Q72" s="9">
        <v>14.99352</v>
      </c>
      <c r="R72" s="9">
        <v>1.42438</v>
      </c>
      <c r="S72" s="9">
        <v>13.569140000000001</v>
      </c>
      <c r="T72" s="7">
        <v>13</v>
      </c>
      <c r="U72" s="6">
        <v>43806</v>
      </c>
      <c r="V72" s="7">
        <v>7090244094</v>
      </c>
      <c r="W72" s="8" t="s">
        <v>37</v>
      </c>
      <c r="X72" s="7" t="s">
        <v>231</v>
      </c>
      <c r="Y72" s="8" t="s">
        <v>232</v>
      </c>
      <c r="Z72" s="7" t="s">
        <v>35</v>
      </c>
      <c r="AA72" s="8" t="s">
        <v>36</v>
      </c>
      <c r="AB72" s="9">
        <v>0.14993519999999999</v>
      </c>
    </row>
    <row r="73" spans="1:28" x14ac:dyDescent="0.35">
      <c r="A73" s="4">
        <v>4621</v>
      </c>
      <c r="B73" s="5" t="s">
        <v>228</v>
      </c>
      <c r="C73" s="6">
        <v>43806</v>
      </c>
      <c r="D73" s="4">
        <v>141</v>
      </c>
      <c r="E73" s="8" t="s">
        <v>38</v>
      </c>
      <c r="F73" s="7" t="s">
        <v>233</v>
      </c>
      <c r="G73" s="8" t="s">
        <v>234</v>
      </c>
      <c r="H73" s="7" t="str">
        <f>"000012"</f>
        <v>000012</v>
      </c>
      <c r="I73" s="6">
        <v>43580</v>
      </c>
      <c r="J73" s="7" t="str">
        <f>"000044"</f>
        <v>000044</v>
      </c>
      <c r="K73" s="6">
        <v>43617</v>
      </c>
      <c r="L73" s="7" t="str">
        <f>"000085"</f>
        <v>000085</v>
      </c>
      <c r="M73" s="6">
        <v>43617</v>
      </c>
      <c r="N73" s="7">
        <v>19</v>
      </c>
      <c r="O73" s="7" t="str">
        <f>"006498"</f>
        <v>006498</v>
      </c>
      <c r="P73" s="6">
        <v>43799</v>
      </c>
      <c r="Q73" s="9">
        <v>29.992889999999999</v>
      </c>
      <c r="R73" s="9">
        <v>2.9992899999999998</v>
      </c>
      <c r="S73" s="9">
        <v>26.993600000000001</v>
      </c>
      <c r="T73" s="7">
        <v>13</v>
      </c>
      <c r="U73" s="6">
        <v>43806</v>
      </c>
      <c r="V73" s="7">
        <v>7090244094</v>
      </c>
      <c r="W73" s="8" t="s">
        <v>37</v>
      </c>
      <c r="X73" s="7" t="s">
        <v>235</v>
      </c>
      <c r="Y73" s="8" t="s">
        <v>236</v>
      </c>
      <c r="Z73" s="7" t="s">
        <v>35</v>
      </c>
      <c r="AA73" s="8" t="s">
        <v>36</v>
      </c>
      <c r="AB73" s="9">
        <v>0.2999289</v>
      </c>
    </row>
    <row r="74" spans="1:28" x14ac:dyDescent="0.35">
      <c r="A74" s="4">
        <v>4622</v>
      </c>
      <c r="B74" s="5" t="s">
        <v>228</v>
      </c>
      <c r="C74" s="6">
        <v>43806</v>
      </c>
      <c r="D74" s="4">
        <v>141</v>
      </c>
      <c r="E74" s="8" t="s">
        <v>38</v>
      </c>
      <c r="F74" s="7" t="s">
        <v>237</v>
      </c>
      <c r="G74" s="8" t="s">
        <v>238</v>
      </c>
      <c r="H74" s="7" t="str">
        <f>"000011"</f>
        <v>000011</v>
      </c>
      <c r="I74" s="6">
        <v>43580</v>
      </c>
      <c r="J74" s="7" t="str">
        <f>"000042"</f>
        <v>000042</v>
      </c>
      <c r="K74" s="6">
        <v>43617</v>
      </c>
      <c r="L74" s="7" t="str">
        <f>"000086"</f>
        <v>000086</v>
      </c>
      <c r="M74" s="6">
        <v>43617</v>
      </c>
      <c r="N74" s="7">
        <v>19</v>
      </c>
      <c r="O74" s="7" t="str">
        <f>"006499"</f>
        <v>006499</v>
      </c>
      <c r="P74" s="6">
        <v>43799</v>
      </c>
      <c r="Q74" s="9">
        <v>24.98096</v>
      </c>
      <c r="R74" s="9">
        <v>2.4981</v>
      </c>
      <c r="S74" s="9">
        <v>22.482859999999999</v>
      </c>
      <c r="T74" s="7">
        <v>13</v>
      </c>
      <c r="U74" s="6">
        <v>43806</v>
      </c>
      <c r="V74" s="7">
        <v>7090244094</v>
      </c>
      <c r="W74" s="8" t="s">
        <v>37</v>
      </c>
      <c r="X74" s="7" t="s">
        <v>235</v>
      </c>
      <c r="Y74" s="8" t="s">
        <v>236</v>
      </c>
      <c r="Z74" s="7" t="s">
        <v>35</v>
      </c>
      <c r="AA74" s="8" t="s">
        <v>36</v>
      </c>
      <c r="AB74" s="9">
        <v>0.24980959999999999</v>
      </c>
    </row>
    <row r="75" spans="1:28" x14ac:dyDescent="0.35">
      <c r="A75" s="4">
        <v>4623</v>
      </c>
      <c r="B75" s="5" t="s">
        <v>228</v>
      </c>
      <c r="C75" s="6">
        <v>43806</v>
      </c>
      <c r="D75" s="4">
        <v>141</v>
      </c>
      <c r="E75" s="8" t="s">
        <v>38</v>
      </c>
      <c r="F75" s="7" t="s">
        <v>239</v>
      </c>
      <c r="G75" s="8" t="s">
        <v>240</v>
      </c>
      <c r="H75" s="7" t="str">
        <f>"000007"</f>
        <v>000007</v>
      </c>
      <c r="I75" s="6">
        <v>43580</v>
      </c>
      <c r="J75" s="7" t="str">
        <f>"000043"</f>
        <v>000043</v>
      </c>
      <c r="K75" s="6">
        <v>43617</v>
      </c>
      <c r="L75" s="7" t="str">
        <f>"000087"</f>
        <v>000087</v>
      </c>
      <c r="M75" s="6">
        <v>43617</v>
      </c>
      <c r="N75" s="7">
        <v>19</v>
      </c>
      <c r="O75" s="7" t="str">
        <f>"006503"</f>
        <v>006503</v>
      </c>
      <c r="P75" s="6">
        <v>43799</v>
      </c>
      <c r="Q75" s="9">
        <v>14.99356</v>
      </c>
      <c r="R75" s="9">
        <v>1.42439</v>
      </c>
      <c r="S75" s="9">
        <v>13.56917</v>
      </c>
      <c r="T75" s="7">
        <v>13</v>
      </c>
      <c r="U75" s="6">
        <v>43806</v>
      </c>
      <c r="V75" s="7">
        <v>9739038754</v>
      </c>
      <c r="W75" s="8" t="s">
        <v>37</v>
      </c>
      <c r="X75" s="7" t="s">
        <v>231</v>
      </c>
      <c r="Y75" s="8" t="s">
        <v>232</v>
      </c>
      <c r="Z75" s="7" t="s">
        <v>35</v>
      </c>
      <c r="AA75" s="8" t="s">
        <v>36</v>
      </c>
      <c r="AB75" s="9">
        <v>0.1499356</v>
      </c>
    </row>
    <row r="76" spans="1:28" x14ac:dyDescent="0.35">
      <c r="A76" s="4">
        <v>4624</v>
      </c>
      <c r="B76" s="5" t="s">
        <v>228</v>
      </c>
      <c r="C76" s="6">
        <v>43806</v>
      </c>
      <c r="D76" s="4">
        <v>141</v>
      </c>
      <c r="E76" s="8" t="s">
        <v>38</v>
      </c>
      <c r="F76" s="7" t="s">
        <v>241</v>
      </c>
      <c r="G76" s="8" t="s">
        <v>242</v>
      </c>
      <c r="H76" s="7" t="str">
        <f>"000002"</f>
        <v>000002</v>
      </c>
      <c r="I76" s="6">
        <v>43580</v>
      </c>
      <c r="J76" s="7" t="str">
        <f>"000045"</f>
        <v>000045</v>
      </c>
      <c r="K76" s="6">
        <v>43617</v>
      </c>
      <c r="L76" s="7" t="str">
        <f>"000084"</f>
        <v>000084</v>
      </c>
      <c r="M76" s="6">
        <v>43617</v>
      </c>
      <c r="N76" s="7">
        <v>19</v>
      </c>
      <c r="O76" s="7" t="str">
        <f>"006505"</f>
        <v>006505</v>
      </c>
      <c r="P76" s="6">
        <v>43799</v>
      </c>
      <c r="Q76" s="9">
        <v>14.98742</v>
      </c>
      <c r="R76" s="9">
        <v>1.42381</v>
      </c>
      <c r="S76" s="9">
        <v>13.563610000000001</v>
      </c>
      <c r="T76" s="7">
        <v>13</v>
      </c>
      <c r="U76" s="6">
        <v>43806</v>
      </c>
      <c r="V76" s="7">
        <v>8792382808</v>
      </c>
      <c r="W76" s="8" t="s">
        <v>37</v>
      </c>
      <c r="X76" s="7" t="s">
        <v>231</v>
      </c>
      <c r="Y76" s="8" t="s">
        <v>232</v>
      </c>
      <c r="Z76" s="7" t="s">
        <v>35</v>
      </c>
      <c r="AA76" s="8" t="s">
        <v>36</v>
      </c>
      <c r="AB76" s="9">
        <v>0.14987420000000001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2020-01-30T06:45:14Z</dcterms:modified>
</cp:coreProperties>
</file>