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anjunath.hl\Desktop\BPR Q1 Q2 Q3\Contractor Bill Payment (Bill Register) Q1 Q2 Q3\"/>
    </mc:Choice>
  </mc:AlternateContent>
  <bookViews>
    <workbookView xWindow="0" yWindow="0" windowWidth="11790" windowHeight="5630"/>
  </bookViews>
  <sheets>
    <sheet name="Sheet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40" i="1" l="1"/>
  <c r="L40" i="1"/>
  <c r="J40" i="1"/>
  <c r="H40" i="1"/>
  <c r="O39" i="1"/>
  <c r="L39" i="1"/>
  <c r="J39" i="1"/>
  <c r="H39" i="1"/>
  <c r="O38" i="1"/>
  <c r="L38" i="1"/>
  <c r="J38" i="1"/>
  <c r="H38" i="1"/>
  <c r="O37" i="1"/>
  <c r="L37" i="1"/>
  <c r="J37" i="1"/>
  <c r="H37" i="1"/>
  <c r="O36" i="1"/>
  <c r="L36" i="1"/>
  <c r="J36" i="1"/>
  <c r="H36" i="1"/>
  <c r="O35" i="1"/>
  <c r="L35" i="1"/>
  <c r="J35" i="1"/>
  <c r="H35" i="1"/>
  <c r="O34" i="1"/>
  <c r="L34" i="1"/>
  <c r="J34" i="1"/>
  <c r="H34" i="1"/>
  <c r="O33" i="1"/>
  <c r="L33" i="1"/>
  <c r="J33" i="1"/>
  <c r="H33" i="1"/>
  <c r="AB32" i="1"/>
  <c r="O32" i="1"/>
  <c r="L32" i="1"/>
  <c r="J32" i="1"/>
  <c r="H32" i="1"/>
  <c r="AB31" i="1"/>
  <c r="O31" i="1"/>
  <c r="L31" i="1"/>
  <c r="J31" i="1"/>
  <c r="H31" i="1"/>
  <c r="AB30" i="1"/>
  <c r="O30" i="1"/>
  <c r="L30" i="1"/>
  <c r="J30" i="1"/>
  <c r="H30" i="1"/>
  <c r="AB29" i="1"/>
  <c r="O29" i="1"/>
  <c r="L29" i="1"/>
  <c r="J29" i="1"/>
  <c r="H29" i="1"/>
  <c r="AB28" i="1"/>
  <c r="O28" i="1"/>
  <c r="L28" i="1"/>
  <c r="J28" i="1"/>
  <c r="H28" i="1"/>
  <c r="AB27" i="1"/>
  <c r="O27" i="1"/>
  <c r="L27" i="1"/>
  <c r="J27" i="1"/>
  <c r="H27" i="1"/>
  <c r="AB26" i="1"/>
  <c r="O26" i="1"/>
  <c r="L26" i="1"/>
  <c r="J26" i="1"/>
  <c r="H26" i="1"/>
  <c r="AB25" i="1"/>
  <c r="O25" i="1"/>
  <c r="L25" i="1"/>
  <c r="J25" i="1"/>
  <c r="H25" i="1"/>
  <c r="AB24" i="1"/>
  <c r="O24" i="1"/>
  <c r="L24" i="1"/>
  <c r="J24" i="1"/>
  <c r="H24" i="1"/>
  <c r="AB23" i="1"/>
  <c r="O23" i="1"/>
  <c r="L23" i="1"/>
  <c r="J23" i="1"/>
  <c r="H23" i="1"/>
  <c r="AB22" i="1"/>
  <c r="O22" i="1"/>
  <c r="L22" i="1"/>
  <c r="J22" i="1"/>
  <c r="H22" i="1"/>
  <c r="AB21" i="1"/>
  <c r="O21" i="1"/>
  <c r="L21" i="1"/>
  <c r="J21" i="1"/>
  <c r="H21" i="1"/>
  <c r="AB20" i="1"/>
  <c r="O20" i="1"/>
  <c r="L20" i="1"/>
  <c r="J20" i="1"/>
  <c r="H20" i="1"/>
  <c r="AB19" i="1"/>
  <c r="O19" i="1"/>
  <c r="L19" i="1"/>
  <c r="J19" i="1"/>
  <c r="H19" i="1"/>
  <c r="AB18" i="1"/>
  <c r="O18" i="1"/>
  <c r="L18" i="1"/>
  <c r="J18" i="1"/>
  <c r="H18" i="1"/>
  <c r="AB17" i="1"/>
  <c r="O17" i="1"/>
  <c r="L17" i="1"/>
  <c r="J17" i="1"/>
  <c r="H17" i="1"/>
  <c r="AB16" i="1"/>
  <c r="O16" i="1"/>
  <c r="L16" i="1"/>
  <c r="J16" i="1"/>
  <c r="H16" i="1"/>
  <c r="AB15" i="1"/>
  <c r="O15" i="1"/>
  <c r="L15" i="1"/>
  <c r="J15" i="1"/>
  <c r="H15" i="1"/>
  <c r="AB14" i="1"/>
  <c r="O14" i="1"/>
  <c r="L14" i="1"/>
  <c r="J14" i="1"/>
  <c r="H14" i="1"/>
  <c r="AB13" i="1"/>
  <c r="O13" i="1"/>
  <c r="L13" i="1"/>
  <c r="J13" i="1"/>
  <c r="H13" i="1"/>
  <c r="AB12" i="1"/>
  <c r="O12" i="1"/>
  <c r="L12" i="1"/>
  <c r="J12" i="1"/>
  <c r="H12" i="1"/>
  <c r="O11" i="1"/>
  <c r="L11" i="1"/>
  <c r="J11" i="1"/>
  <c r="H11" i="1"/>
  <c r="AB10" i="1"/>
  <c r="O10" i="1"/>
  <c r="L10" i="1"/>
  <c r="J10" i="1"/>
  <c r="H10" i="1"/>
  <c r="AB9" i="1"/>
  <c r="O9" i="1"/>
  <c r="L9" i="1"/>
  <c r="J9" i="1"/>
  <c r="H9" i="1"/>
  <c r="AB8" i="1"/>
  <c r="O8" i="1"/>
  <c r="L8" i="1"/>
  <c r="J8" i="1"/>
  <c r="H8" i="1"/>
  <c r="AB7" i="1"/>
  <c r="O7" i="1"/>
  <c r="L7" i="1"/>
  <c r="J7" i="1"/>
  <c r="H7" i="1"/>
  <c r="AB6" i="1"/>
  <c r="O6" i="1"/>
  <c r="L6" i="1"/>
  <c r="J6" i="1"/>
  <c r="H6" i="1"/>
  <c r="AB5" i="1"/>
  <c r="O5" i="1"/>
  <c r="L5" i="1"/>
  <c r="J5" i="1"/>
  <c r="H5" i="1"/>
  <c r="AB4" i="1"/>
  <c r="O4" i="1"/>
  <c r="L4" i="1"/>
  <c r="J4" i="1"/>
  <c r="H4" i="1"/>
  <c r="AB3" i="1"/>
  <c r="O3" i="1"/>
  <c r="L3" i="1"/>
  <c r="J3" i="1"/>
  <c r="H3" i="1"/>
  <c r="AB2" i="1"/>
  <c r="O2" i="1"/>
  <c r="L2" i="1"/>
  <c r="J2" i="1"/>
  <c r="H2" i="1"/>
</calcChain>
</file>

<file path=xl/sharedStrings.xml><?xml version="1.0" encoding="utf-8"?>
<sst xmlns="http://schemas.openxmlformats.org/spreadsheetml/2006/main" count="379" uniqueCount="175">
  <si>
    <t>SL No</t>
  </si>
  <si>
    <t>Month</t>
  </si>
  <si>
    <t>Date</t>
  </si>
  <si>
    <t>Ward_No</t>
  </si>
  <si>
    <t>Ward_Name</t>
  </si>
  <si>
    <t>Job_Code</t>
  </si>
  <si>
    <t>Job_Description</t>
  </si>
  <si>
    <t>Work_ Order</t>
  </si>
  <si>
    <t>Work_Order_Date</t>
  </si>
  <si>
    <t>Sub Bill Register_No</t>
  </si>
  <si>
    <t>Sub Bill Register_Date</t>
  </si>
  <si>
    <t>Bill Register No</t>
  </si>
  <si>
    <t>Bill Register Date</t>
  </si>
  <si>
    <t>Job Code Year</t>
  </si>
  <si>
    <t>CBR_No</t>
  </si>
  <si>
    <t>CBR_Date</t>
  </si>
  <si>
    <t>Gross_ Amount In Lakhs</t>
  </si>
  <si>
    <t>Deduction In Lakhs</t>
  </si>
  <si>
    <t>Nett_ Amount In Lakhs</t>
  </si>
  <si>
    <t>RTGS_No</t>
  </si>
  <si>
    <t>RTGS_Date</t>
  </si>
  <si>
    <t>Contractor Number</t>
  </si>
  <si>
    <t>Contractor_Name</t>
  </si>
  <si>
    <t>P_Code</t>
  </si>
  <si>
    <t>Budget_Head</t>
  </si>
  <si>
    <t>Budget_ Head_ID</t>
  </si>
  <si>
    <t>Engineer Details</t>
  </si>
  <si>
    <t>Gross_ Amount In Cr</t>
  </si>
  <si>
    <t>April</t>
  </si>
  <si>
    <t>June</t>
  </si>
  <si>
    <t>P1771</t>
  </si>
  <si>
    <t>Zone Works - POW Works</t>
  </si>
  <si>
    <t>May</t>
  </si>
  <si>
    <t>P3296</t>
  </si>
  <si>
    <t>14th Finance Commission Works - Road and Footpath Maintenance</t>
  </si>
  <si>
    <t>M and R to Street Lights - Replacement of Burnt Bulbs etc. (Package)</t>
  </si>
  <si>
    <t>P0300</t>
  </si>
  <si>
    <t>P3110</t>
  </si>
  <si>
    <t>14th Finance Commission Grant Works</t>
  </si>
  <si>
    <t>P3111</t>
  </si>
  <si>
    <t>State Finance Commission Untied Grant Works</t>
  </si>
  <si>
    <t>P3075</t>
  </si>
  <si>
    <t>Special comprehensive development works in Bangalore city (Bangalore city in charge Minister Discretionary Grants)</t>
  </si>
  <si>
    <t>M/s KRIDL</t>
  </si>
  <si>
    <t>ddo258</t>
  </si>
  <si>
    <t xml:space="preserve"> Executive Engineer Electrical South Zone</t>
  </si>
  <si>
    <t>ddo421</t>
  </si>
  <si>
    <t xml:space="preserve"> Assistant Executive Engineer Koramangala South Zone</t>
  </si>
  <si>
    <t>Koramangala</t>
  </si>
  <si>
    <t>151-15-000004</t>
  </si>
  <si>
    <t>Providing Organic waste cutter shredder in ward No151 Koramangala</t>
  </si>
  <si>
    <t>Poornachandra K V</t>
  </si>
  <si>
    <t>151-18-000046</t>
  </si>
  <si>
    <t xml:space="preserve">Restoration of BWSSB road Cut Portion in roads under 6th Block and surrounding roads in Koramangala in Ward No.151 </t>
  </si>
  <si>
    <t>151-17-000088</t>
  </si>
  <si>
    <t>Development of park at south zone Koramangala ward No 151 south zone</t>
  </si>
  <si>
    <t>Billapur Yellappa Perumaiah</t>
  </si>
  <si>
    <t>P3122</t>
  </si>
  <si>
    <t>AMRUT Project Horticulture</t>
  </si>
  <si>
    <t>ddo611</t>
  </si>
  <si>
    <t xml:space="preserve"> Executive Engineer 1 - Projects 2 Central Zone</t>
  </si>
  <si>
    <t>151-16-000001</t>
  </si>
  <si>
    <t>Operation and Maintenance of Street Lighting System in Ward No.151 Package S-27 of South Zone</t>
  </si>
  <si>
    <t>M/S Vijayalakshmi Associates</t>
  </si>
  <si>
    <t>151-17-000034</t>
  </si>
  <si>
    <t>Depot collection for the year 2016-17 in ward No.151 Koramangala</t>
  </si>
  <si>
    <t>Kumar</t>
  </si>
  <si>
    <t>151-18-000036</t>
  </si>
  <si>
    <t>Improvement to CC roads, in 4th Block Koramangala and surrounding ares in Ward No. 151 Koramangala</t>
  </si>
  <si>
    <t>Sri. N Chethan Kumar</t>
  </si>
  <si>
    <t>151-17-000035</t>
  </si>
  <si>
    <t>Providing Cement Concrete to 5th cross, Jakkasandra extension in Koramangala, Ward No.151</t>
  </si>
  <si>
    <t>Hitesh kumar S</t>
  </si>
  <si>
    <t>151-17-000028</t>
  </si>
  <si>
    <t>Urgent work under Emergency grant for the year 2016-17 in ward No.151 Koramangala</t>
  </si>
  <si>
    <t>Sri. Patel B</t>
  </si>
  <si>
    <t>151-17-000087</t>
  </si>
  <si>
    <t>Providing Modren Dust Bin in Bangalore City in ward no 151</t>
  </si>
  <si>
    <t xml:space="preserve">Sri. Sharanappa </t>
  </si>
  <si>
    <t>July</t>
  </si>
  <si>
    <t>151-17-000085</t>
  </si>
  <si>
    <t>Engagement of Gangman and Hiring of Tractor Tippers for cleaning and Maintenance of road side drains and other cleaning works in works in ward no 151</t>
  </si>
  <si>
    <t>M Nagesh</t>
  </si>
  <si>
    <t>151-18-000038</t>
  </si>
  <si>
    <t>Maintenance of Ambedkar samudaya bhavan at Koramangala in ward no 151 Koramangala</t>
  </si>
  <si>
    <t>Srinivasan C</t>
  </si>
  <si>
    <t>P3292</t>
  </si>
  <si>
    <t>14th Finance Commission Works - Community Property Maintenance (including Parks)</t>
  </si>
  <si>
    <t>151-18-000021</t>
  </si>
  <si>
    <t xml:space="preserve">Digging of new borewell and providing water supply Pipeline in Ward No:151 Koramangala </t>
  </si>
  <si>
    <t>K Sathish nayak</t>
  </si>
  <si>
    <t>P3293</t>
  </si>
  <si>
    <t>14th Finance Commission Works - Drinking Water</t>
  </si>
  <si>
    <t>151-18-000040</t>
  </si>
  <si>
    <t>Construction of Public Toilet in ward no 151 KOramangala</t>
  </si>
  <si>
    <t>Manjunatha N</t>
  </si>
  <si>
    <t>P3294</t>
  </si>
  <si>
    <t>14th Finance Commission Works - General Public ToiletandSeptage Maintenance</t>
  </si>
  <si>
    <t>151-18-000043</t>
  </si>
  <si>
    <t>Improvements and Desilting of secondary drains at Koramangala ward no 151</t>
  </si>
  <si>
    <t>Smt C Pushpa (M P Constructiohn)</t>
  </si>
  <si>
    <t>P3297</t>
  </si>
  <si>
    <t>14th Finance Commission Grants - SWD Works</t>
  </si>
  <si>
    <t>151-18-000039</t>
  </si>
  <si>
    <t>Drilling of New Borewell and Pump Erection and Providing Pipeline at Surrounding area in ward no 151 Koramangala</t>
  </si>
  <si>
    <t>Sri. Lakshman H Pujari</t>
  </si>
  <si>
    <t>151-17-000032</t>
  </si>
  <si>
    <t>Providing cement concrete to roads from Basava temple to Adugodi main road via Koramangala village in ward No.151</t>
  </si>
  <si>
    <t>K C Sridhar</t>
  </si>
  <si>
    <t>151-17-000031</t>
  </si>
  <si>
    <t>Providing cement concrete to roads from MES School towards Basava temple and suroundings in Koramangala village in ward No.151</t>
  </si>
  <si>
    <t>K. C. Sridhar</t>
  </si>
  <si>
    <t>151-16-000015</t>
  </si>
  <si>
    <t>Providing Cement concrete designer tiles to footpath and Improvements to drains at 1st cross 5th block in ward no 151</t>
  </si>
  <si>
    <t>151-17-000033</t>
  </si>
  <si>
    <t>Providing, supplying and fixing of missing and damaged slabs in ward No.151 Koramangala</t>
  </si>
  <si>
    <t>Sri. Kumar</t>
  </si>
  <si>
    <t>August</t>
  </si>
  <si>
    <t>151-18-000025</t>
  </si>
  <si>
    <t>Providing water supply pipelines for drinking water facility in Ward No:151 Koramangala</t>
  </si>
  <si>
    <t>Sri. Ramaraju Purushotham</t>
  </si>
  <si>
    <t>151-17-000093</t>
  </si>
  <si>
    <t>Improvements to road, drains and footpath in 5th A block, Koramangala and surrounding areas in Ward No.151 Koramangala</t>
  </si>
  <si>
    <t>N Santosh</t>
  </si>
  <si>
    <t>151-11-000024</t>
  </si>
  <si>
    <t>Setting up and operation of Nisurgruna Bio-gas plant for Bio degredable waste of 5MT capacity based on Bhabha Atomic Research centre technology in ward no 151, Koramangala 3rd Block, Under High Tension line, Koramangala</t>
  </si>
  <si>
    <t>M/s Ashoka Biogreen Pvt Ltd</t>
  </si>
  <si>
    <t>P2200</t>
  </si>
  <si>
    <t>Works to be taken up under 13th Finance Commission</t>
  </si>
  <si>
    <t>ddo326</t>
  </si>
  <si>
    <t xml:space="preserve"> Executive Engineer SWM 1 Central Zone</t>
  </si>
  <si>
    <t>September</t>
  </si>
  <si>
    <t>151-19-000019</t>
  </si>
  <si>
    <t>Drilling of New Borewells and Erection of Pumps in ward no 151 Koramangala</t>
  </si>
  <si>
    <t>Smt. H S Hemavathi</t>
  </si>
  <si>
    <t>151-19-000015</t>
  </si>
  <si>
    <t>Providing Street lights and other electrical accessories to Koramangala ward no 151</t>
  </si>
  <si>
    <t>M/s. K.S. Mohan (Vijayalakshmi Associates)</t>
  </si>
  <si>
    <t>P3290</t>
  </si>
  <si>
    <t>14th Finance Commission Works - Providing Street Lights and Maintenance</t>
  </si>
  <si>
    <t>151-19-000004</t>
  </si>
  <si>
    <t>Improvements and construction new culverts in siddartha colony in ward no 151 Koramangala</t>
  </si>
  <si>
    <t>P1878</t>
  </si>
  <si>
    <t>18per - Works (Bhagyajyothi, Sooru / Neeru Yojane and General) (54 Lakhs / New Wards)</t>
  </si>
  <si>
    <t>151-19-000005</t>
  </si>
  <si>
    <t>Improvements of drian and providing new RCC drian in siddartha colony in ward no 151 Kormanagla</t>
  </si>
  <si>
    <t xml:space="preserve">M/s KRIDL </t>
  </si>
  <si>
    <t>151-19-000006</t>
  </si>
  <si>
    <t>Providing and improvements of RCC drian in mestripalya village in ward no 151 Koramangala</t>
  </si>
  <si>
    <t>151-19-000003</t>
  </si>
  <si>
    <t>Improvements CC roads in mestripalya village in ward no 151 Koramangala</t>
  </si>
  <si>
    <t>October</t>
  </si>
  <si>
    <t>151-18-000001</t>
  </si>
  <si>
    <t>Comprehensive development of bad road and improvement to road side drains footpath asphalting and concreteting including culverts to selected main and other connecting roads in ward no 151 176 in BTM Division of South Zone Package-6 3 works (DPR)</t>
  </si>
  <si>
    <t>Sri M T Nagaraj</t>
  </si>
  <si>
    <t>P1732</t>
  </si>
  <si>
    <t>Road network arterial roads (Project Division and Major Road Division)</t>
  </si>
  <si>
    <t>151-18-000027</t>
  </si>
  <si>
    <t xml:space="preserve">Construction and improvement of public toilets in ward No.151 Koramanga </t>
  </si>
  <si>
    <t>Sri. R Govindaraju</t>
  </si>
  <si>
    <t>151-18-000042</t>
  </si>
  <si>
    <t>Annual Maintenance of roads and drains in ward no 151 Koramangala</t>
  </si>
  <si>
    <t>Sri. K C Sreedhar</t>
  </si>
  <si>
    <t>151-18-000023</t>
  </si>
  <si>
    <t xml:space="preserve">Providing RO Plant in Koramangala Village in Ward No:151 Koramangala </t>
  </si>
  <si>
    <t>Sri. Hitesh Kumar S</t>
  </si>
  <si>
    <t>November</t>
  </si>
  <si>
    <t>151-18-000051</t>
  </si>
  <si>
    <t xml:space="preserve">Parks, Playground and other Developments in koramangala ward No. 151 </t>
  </si>
  <si>
    <t>KRIDL</t>
  </si>
  <si>
    <t>ddo422</t>
  </si>
  <si>
    <t xml:space="preserve"> Executive Engineer Project - South Zone</t>
  </si>
  <si>
    <t>December</t>
  </si>
  <si>
    <t>151-16-000014</t>
  </si>
  <si>
    <t>Providing Cement concrete designer tiles to footpath and Improvements to drains at 18th main 6th block in ward no 151 (Koramangala)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</si>
</sst>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theme="1"/>
      <name val="Calibri"/>
      <family val="2"/>
      <scheme val="minor"/>
    </font>
    <font>
      <b/>
      <sz val="10"/>
      <color theme="1"/>
      <name val="Calibri"/>
      <family val="2"/>
      <scheme val="minor"/>
    </font>
    <font>
      <sz val="10"/>
      <color theme="1"/>
      <name val="Calibri"/>
      <family val="2"/>
      <scheme val="minor"/>
    </font>
    <font>
      <sz val="8"/>
      <color theme="1"/>
      <name val="Verdana"/>
      <family val="2"/>
    </font>
  </fonts>
  <fills count="3">
    <fill>
      <patternFill patternType="none"/>
    </fill>
    <fill>
      <patternFill patternType="gray125"/>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2">
    <xf numFmtId="0" fontId="0" fillId="0" borderId="0" xfId="0"/>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2" fillId="0" borderId="0" xfId="0" applyFont="1" applyAlignment="1">
      <alignment horizontal="center" vertical="center"/>
    </xf>
    <xf numFmtId="1" fontId="3" fillId="0" borderId="1" xfId="0" applyNumberFormat="1" applyFont="1" applyBorder="1" applyAlignment="1">
      <alignment horizontal="center" vertical="center"/>
    </xf>
    <xf numFmtId="15" fontId="3" fillId="0" borderId="1" xfId="0" applyNumberFormat="1" applyFont="1" applyBorder="1" applyAlignment="1">
      <alignment horizontal="left" vertical="center"/>
    </xf>
    <xf numFmtId="15" fontId="3" fillId="0" borderId="1" xfId="0" applyNumberFormat="1"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2" fontId="3" fillId="0" borderId="1" xfId="0" applyNumberFormat="1" applyFont="1" applyBorder="1" applyAlignment="1">
      <alignment horizontal="right" vertical="center"/>
    </xf>
    <xf numFmtId="0" fontId="3" fillId="0" borderId="1" xfId="0" applyFont="1" applyBorder="1" applyAlignment="1">
      <alignment vertical="center"/>
    </xf>
    <xf numFmtId="2" fontId="3" fillId="0" borderId="1" xfId="0" applyNumberFormat="1" applyFont="1" applyBorder="1" applyAlignment="1">
      <alignmen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40"/>
  <sheetViews>
    <sheetView tabSelected="1" topLeftCell="A34" workbookViewId="0">
      <selection activeCell="A2" sqref="A2:XFD40"/>
    </sheetView>
  </sheetViews>
  <sheetFormatPr defaultRowHeight="14.5" x14ac:dyDescent="0.35"/>
  <cols>
    <col min="1" max="1" width="5" bestFit="1" customWidth="1"/>
    <col min="2" max="2" width="6.26953125" bestFit="1" customWidth="1"/>
    <col min="3" max="3" width="9.54296875" bestFit="1" customWidth="1"/>
    <col min="5" max="5" width="16.26953125" bestFit="1" customWidth="1"/>
    <col min="6" max="6" width="13.26953125" bestFit="1" customWidth="1"/>
    <col min="7" max="7" width="31.81640625" customWidth="1"/>
    <col min="16" max="16" width="9.54296875" bestFit="1" customWidth="1"/>
    <col min="21" max="21" width="9.54296875" bestFit="1" customWidth="1"/>
    <col min="27" max="27" width="16.81640625" customWidth="1"/>
  </cols>
  <sheetData>
    <row r="1" spans="1:28" s="3" customFormat="1" ht="24" customHeight="1" x14ac:dyDescent="0.35">
      <c r="A1" s="1" t="s">
        <v>0</v>
      </c>
      <c r="B1" s="1" t="s">
        <v>1</v>
      </c>
      <c r="C1" s="1" t="s">
        <v>2</v>
      </c>
      <c r="D1" s="1" t="s">
        <v>3</v>
      </c>
      <c r="E1" s="1" t="s">
        <v>4</v>
      </c>
      <c r="F1" s="1" t="s">
        <v>5</v>
      </c>
      <c r="G1" s="1" t="s">
        <v>6</v>
      </c>
      <c r="H1" s="2" t="s">
        <v>7</v>
      </c>
      <c r="I1" s="2" t="s">
        <v>8</v>
      </c>
      <c r="J1" s="2" t="s">
        <v>9</v>
      </c>
      <c r="K1" s="2" t="s">
        <v>10</v>
      </c>
      <c r="L1" s="2" t="s">
        <v>11</v>
      </c>
      <c r="M1" s="2" t="s">
        <v>12</v>
      </c>
      <c r="N1" s="2" t="s">
        <v>13</v>
      </c>
      <c r="O1" s="1" t="s">
        <v>14</v>
      </c>
      <c r="P1" s="1" t="s">
        <v>15</v>
      </c>
      <c r="Q1" s="2" t="s">
        <v>16</v>
      </c>
      <c r="R1" s="2" t="s">
        <v>17</v>
      </c>
      <c r="S1" s="2" t="s">
        <v>18</v>
      </c>
      <c r="T1" s="2" t="s">
        <v>19</v>
      </c>
      <c r="U1" s="1" t="s">
        <v>20</v>
      </c>
      <c r="V1" s="2" t="s">
        <v>21</v>
      </c>
      <c r="W1" s="1" t="s">
        <v>22</v>
      </c>
      <c r="X1" s="1" t="s">
        <v>23</v>
      </c>
      <c r="Y1" s="1" t="s">
        <v>24</v>
      </c>
      <c r="Z1" s="2" t="s">
        <v>25</v>
      </c>
      <c r="AA1" s="1" t="s">
        <v>26</v>
      </c>
      <c r="AB1" s="2" t="s">
        <v>27</v>
      </c>
    </row>
    <row r="2" spans="1:28" x14ac:dyDescent="0.35">
      <c r="A2" s="4">
        <v>4806</v>
      </c>
      <c r="B2" s="5" t="s">
        <v>28</v>
      </c>
      <c r="C2" s="6">
        <v>43566</v>
      </c>
      <c r="D2" s="7">
        <v>151</v>
      </c>
      <c r="E2" s="8" t="s">
        <v>48</v>
      </c>
      <c r="F2" s="7" t="s">
        <v>49</v>
      </c>
      <c r="G2" s="8" t="s">
        <v>50</v>
      </c>
      <c r="H2" s="7" t="str">
        <f>"000009"</f>
        <v>000009</v>
      </c>
      <c r="I2" s="6">
        <v>42916</v>
      </c>
      <c r="J2" s="7" t="str">
        <f>"000060"</f>
        <v>000060</v>
      </c>
      <c r="K2" s="6">
        <v>42902</v>
      </c>
      <c r="L2" s="7" t="str">
        <f>"000148"</f>
        <v>000148</v>
      </c>
      <c r="M2" s="6">
        <v>42916</v>
      </c>
      <c r="N2" s="7">
        <v>15</v>
      </c>
      <c r="O2" s="7" t="str">
        <f>"000130"</f>
        <v>000130</v>
      </c>
      <c r="P2" s="6">
        <v>43563</v>
      </c>
      <c r="Q2" s="9">
        <v>4.6736700000000004</v>
      </c>
      <c r="R2" s="9">
        <v>1.0907800000000001</v>
      </c>
      <c r="S2" s="9">
        <v>3.5828899999999999</v>
      </c>
      <c r="T2" s="7">
        <v>12</v>
      </c>
      <c r="U2" s="6">
        <v>43566</v>
      </c>
      <c r="V2" s="7">
        <v>9845695100</v>
      </c>
      <c r="W2" s="8" t="s">
        <v>51</v>
      </c>
      <c r="X2" s="7" t="s">
        <v>30</v>
      </c>
      <c r="Y2" s="8" t="s">
        <v>31</v>
      </c>
      <c r="Z2" s="7" t="s">
        <v>46</v>
      </c>
      <c r="AA2" s="8" t="s">
        <v>47</v>
      </c>
      <c r="AB2" s="9">
        <f t="shared" ref="AB2:AB10" si="0">Q2/100</f>
        <v>4.6736700000000006E-2</v>
      </c>
    </row>
    <row r="3" spans="1:28" x14ac:dyDescent="0.35">
      <c r="A3" s="4">
        <v>4807</v>
      </c>
      <c r="B3" s="5" t="s">
        <v>28</v>
      </c>
      <c r="C3" s="6">
        <v>43566</v>
      </c>
      <c r="D3" s="7">
        <v>151</v>
      </c>
      <c r="E3" s="8" t="s">
        <v>48</v>
      </c>
      <c r="F3" s="7" t="s">
        <v>52</v>
      </c>
      <c r="G3" s="8" t="s">
        <v>53</v>
      </c>
      <c r="H3" s="7" t="str">
        <f>"000472"</f>
        <v>000472</v>
      </c>
      <c r="I3" s="6">
        <v>43524</v>
      </c>
      <c r="J3" s="7" t="str">
        <f>"000148"</f>
        <v>000148</v>
      </c>
      <c r="K3" s="6">
        <v>43551</v>
      </c>
      <c r="L3" s="7" t="str">
        <f>"000257"</f>
        <v>000257</v>
      </c>
      <c r="M3" s="6">
        <v>43553</v>
      </c>
      <c r="N3" s="7">
        <v>18</v>
      </c>
      <c r="O3" s="7" t="str">
        <f>"000366"</f>
        <v>000366</v>
      </c>
      <c r="P3" s="6">
        <v>43566</v>
      </c>
      <c r="Q3" s="9">
        <v>39.852620000000002</v>
      </c>
      <c r="R3" s="9">
        <v>4.9961700000000002</v>
      </c>
      <c r="S3" s="9">
        <v>34.856450000000002</v>
      </c>
      <c r="T3" s="7">
        <v>13</v>
      </c>
      <c r="U3" s="6">
        <v>43566</v>
      </c>
      <c r="V3" s="7">
        <v>9845057449</v>
      </c>
      <c r="W3" s="8" t="s">
        <v>43</v>
      </c>
      <c r="X3" s="7" t="s">
        <v>39</v>
      </c>
      <c r="Y3" s="8" t="s">
        <v>40</v>
      </c>
      <c r="Z3" s="7" t="s">
        <v>46</v>
      </c>
      <c r="AA3" s="8" t="s">
        <v>47</v>
      </c>
      <c r="AB3" s="9">
        <f t="shared" si="0"/>
        <v>0.3985262</v>
      </c>
    </row>
    <row r="4" spans="1:28" x14ac:dyDescent="0.35">
      <c r="A4" s="4">
        <v>4808</v>
      </c>
      <c r="B4" s="5" t="s">
        <v>28</v>
      </c>
      <c r="C4" s="6">
        <v>43566</v>
      </c>
      <c r="D4" s="7">
        <v>151</v>
      </c>
      <c r="E4" s="8" t="s">
        <v>48</v>
      </c>
      <c r="F4" s="7" t="s">
        <v>54</v>
      </c>
      <c r="G4" s="8" t="s">
        <v>55</v>
      </c>
      <c r="H4" s="7" t="str">
        <f>"000061"</f>
        <v>000061</v>
      </c>
      <c r="I4" s="6">
        <v>43540</v>
      </c>
      <c r="J4" s="7" t="str">
        <f>"000001"</f>
        <v>000001</v>
      </c>
      <c r="K4" s="6">
        <v>43543</v>
      </c>
      <c r="L4" s="7" t="str">
        <f>"000138"</f>
        <v>000138</v>
      </c>
      <c r="M4" s="6">
        <v>43543</v>
      </c>
      <c r="N4" s="7">
        <v>17</v>
      </c>
      <c r="O4" s="7" t="str">
        <f>"000304"</f>
        <v>000304</v>
      </c>
      <c r="P4" s="6">
        <v>43565</v>
      </c>
      <c r="Q4" s="9">
        <v>231.94864999999999</v>
      </c>
      <c r="R4" s="9">
        <v>12.991300000000001</v>
      </c>
      <c r="S4" s="9">
        <v>218.95734999999999</v>
      </c>
      <c r="T4" s="7">
        <v>14</v>
      </c>
      <c r="U4" s="6">
        <v>43566</v>
      </c>
      <c r="V4" s="7">
        <v>9148031615</v>
      </c>
      <c r="W4" s="8" t="s">
        <v>56</v>
      </c>
      <c r="X4" s="7" t="s">
        <v>57</v>
      </c>
      <c r="Y4" s="8" t="s">
        <v>58</v>
      </c>
      <c r="Z4" s="7" t="s">
        <v>59</v>
      </c>
      <c r="AA4" s="8" t="s">
        <v>60</v>
      </c>
      <c r="AB4" s="9">
        <f t="shared" si="0"/>
        <v>2.3194865</v>
      </c>
    </row>
    <row r="5" spans="1:28" x14ac:dyDescent="0.35">
      <c r="A5" s="4">
        <v>4809</v>
      </c>
      <c r="B5" s="5" t="s">
        <v>28</v>
      </c>
      <c r="C5" s="6">
        <v>43567</v>
      </c>
      <c r="D5" s="7">
        <v>151</v>
      </c>
      <c r="E5" s="8" t="s">
        <v>48</v>
      </c>
      <c r="F5" s="7" t="s">
        <v>61</v>
      </c>
      <c r="G5" s="8" t="s">
        <v>62</v>
      </c>
      <c r="H5" s="7" t="str">
        <f>"000036"</f>
        <v>000036</v>
      </c>
      <c r="I5" s="6">
        <v>42934</v>
      </c>
      <c r="J5" s="7" t="str">
        <f>"000170"</f>
        <v>000170</v>
      </c>
      <c r="K5" s="6">
        <v>43482</v>
      </c>
      <c r="L5" s="7" t="str">
        <f>"000171"</f>
        <v>000171</v>
      </c>
      <c r="M5" s="6">
        <v>43482</v>
      </c>
      <c r="N5" s="7">
        <v>16</v>
      </c>
      <c r="O5" s="7" t="str">
        <f>"000790"</f>
        <v>000790</v>
      </c>
      <c r="P5" s="6">
        <v>43578</v>
      </c>
      <c r="Q5" s="9">
        <v>9.5301899999999993</v>
      </c>
      <c r="R5" s="9">
        <v>0.71862999999999999</v>
      </c>
      <c r="S5" s="9">
        <v>8.8115600000000001</v>
      </c>
      <c r="T5" s="7">
        <v>17</v>
      </c>
      <c r="U5" s="6">
        <v>43567</v>
      </c>
      <c r="V5" s="7">
        <v>0</v>
      </c>
      <c r="W5" s="8" t="s">
        <v>63</v>
      </c>
      <c r="X5" s="7" t="s">
        <v>36</v>
      </c>
      <c r="Y5" s="8" t="s">
        <v>35</v>
      </c>
      <c r="Z5" s="7" t="s">
        <v>44</v>
      </c>
      <c r="AA5" s="8" t="s">
        <v>45</v>
      </c>
      <c r="AB5" s="9">
        <f t="shared" si="0"/>
        <v>9.5301899999999995E-2</v>
      </c>
    </row>
    <row r="6" spans="1:28" x14ac:dyDescent="0.35">
      <c r="A6" s="4">
        <v>4810</v>
      </c>
      <c r="B6" s="5" t="s">
        <v>28</v>
      </c>
      <c r="C6" s="6">
        <v>43580</v>
      </c>
      <c r="D6" s="7">
        <v>151</v>
      </c>
      <c r="E6" s="8" t="s">
        <v>48</v>
      </c>
      <c r="F6" s="7" t="s">
        <v>61</v>
      </c>
      <c r="G6" s="8" t="s">
        <v>62</v>
      </c>
      <c r="H6" s="7" t="str">
        <f>"000036"</f>
        <v>000036</v>
      </c>
      <c r="I6" s="6">
        <v>42934</v>
      </c>
      <c r="J6" s="7" t="str">
        <f>"000040"</f>
        <v>000040</v>
      </c>
      <c r="K6" s="6">
        <v>43599</v>
      </c>
      <c r="L6" s="7" t="str">
        <f>"000039"</f>
        <v>000039</v>
      </c>
      <c r="M6" s="6">
        <v>43599</v>
      </c>
      <c r="N6" s="7">
        <v>16</v>
      </c>
      <c r="O6" s="7" t="str">
        <f>""</f>
        <v/>
      </c>
      <c r="P6" s="6"/>
      <c r="Q6" s="9">
        <v>7.9418300000000004</v>
      </c>
      <c r="R6" s="9">
        <v>0.64885999999999999</v>
      </c>
      <c r="S6" s="9">
        <v>7.2929700000000004</v>
      </c>
      <c r="T6" s="7">
        <v>29</v>
      </c>
      <c r="U6" s="6">
        <v>43580</v>
      </c>
      <c r="V6" s="7">
        <v>0</v>
      </c>
      <c r="W6" s="8" t="s">
        <v>63</v>
      </c>
      <c r="X6" s="7" t="s">
        <v>36</v>
      </c>
      <c r="Y6" s="8" t="s">
        <v>35</v>
      </c>
      <c r="Z6" s="7" t="s">
        <v>44</v>
      </c>
      <c r="AA6" s="8" t="s">
        <v>45</v>
      </c>
      <c r="AB6" s="9">
        <f t="shared" si="0"/>
        <v>7.9418299999999997E-2</v>
      </c>
    </row>
    <row r="7" spans="1:28" x14ac:dyDescent="0.35">
      <c r="A7" s="4">
        <v>4811</v>
      </c>
      <c r="B7" s="5" t="s">
        <v>28</v>
      </c>
      <c r="C7" s="6">
        <v>43582</v>
      </c>
      <c r="D7" s="7">
        <v>151</v>
      </c>
      <c r="E7" s="8" t="s">
        <v>48</v>
      </c>
      <c r="F7" s="7" t="s">
        <v>64</v>
      </c>
      <c r="G7" s="8" t="s">
        <v>65</v>
      </c>
      <c r="H7" s="7" t="str">
        <f>"000139"</f>
        <v>000139</v>
      </c>
      <c r="I7" s="6">
        <v>43133</v>
      </c>
      <c r="J7" s="7" t="str">
        <f>"000060"</f>
        <v>000060</v>
      </c>
      <c r="K7" s="6">
        <v>43138</v>
      </c>
      <c r="L7" s="7" t="str">
        <f>"000141"</f>
        <v>000141</v>
      </c>
      <c r="M7" s="6">
        <v>43150</v>
      </c>
      <c r="N7" s="7">
        <v>17</v>
      </c>
      <c r="O7" s="7" t="str">
        <f>"001043"</f>
        <v>001043</v>
      </c>
      <c r="P7" s="6">
        <v>43580</v>
      </c>
      <c r="Q7" s="9">
        <v>4.9593100000000003</v>
      </c>
      <c r="R7" s="9">
        <v>0.60628000000000004</v>
      </c>
      <c r="S7" s="9">
        <v>4.3530300000000004</v>
      </c>
      <c r="T7" s="7">
        <v>31</v>
      </c>
      <c r="U7" s="6">
        <v>43582</v>
      </c>
      <c r="V7" s="7">
        <v>9980866367</v>
      </c>
      <c r="W7" s="8" t="s">
        <v>66</v>
      </c>
      <c r="X7" s="7" t="s">
        <v>30</v>
      </c>
      <c r="Y7" s="8" t="s">
        <v>31</v>
      </c>
      <c r="Z7" s="7" t="s">
        <v>46</v>
      </c>
      <c r="AA7" s="8" t="s">
        <v>47</v>
      </c>
      <c r="AB7" s="9">
        <f t="shared" si="0"/>
        <v>4.9593100000000001E-2</v>
      </c>
    </row>
    <row r="8" spans="1:28" x14ac:dyDescent="0.35">
      <c r="A8" s="4">
        <v>4812</v>
      </c>
      <c r="B8" s="5" t="s">
        <v>32</v>
      </c>
      <c r="C8" s="6">
        <v>43606</v>
      </c>
      <c r="D8" s="7">
        <v>151</v>
      </c>
      <c r="E8" s="8" t="s">
        <v>48</v>
      </c>
      <c r="F8" s="7" t="s">
        <v>67</v>
      </c>
      <c r="G8" s="8" t="s">
        <v>68</v>
      </c>
      <c r="H8" s="7" t="str">
        <f>"000312"</f>
        <v>000312</v>
      </c>
      <c r="I8" s="6">
        <v>43431</v>
      </c>
      <c r="J8" s="7" t="str">
        <f>"000130"</f>
        <v>000130</v>
      </c>
      <c r="K8" s="6">
        <v>43495</v>
      </c>
      <c r="L8" s="7" t="str">
        <f>"000230"</f>
        <v>000230</v>
      </c>
      <c r="M8" s="6">
        <v>43515</v>
      </c>
      <c r="N8" s="7">
        <v>18</v>
      </c>
      <c r="O8" s="7" t="str">
        <f>"001784"</f>
        <v>001784</v>
      </c>
      <c r="P8" s="6">
        <v>43603</v>
      </c>
      <c r="Q8" s="9">
        <v>26.185379999999999</v>
      </c>
      <c r="R8" s="9">
        <v>1.3174600000000001</v>
      </c>
      <c r="S8" s="9">
        <v>24.867920000000002</v>
      </c>
      <c r="T8" s="7">
        <v>53</v>
      </c>
      <c r="U8" s="6">
        <v>43606</v>
      </c>
      <c r="V8" s="7">
        <v>9902067334</v>
      </c>
      <c r="W8" s="8" t="s">
        <v>69</v>
      </c>
      <c r="X8" s="7" t="s">
        <v>33</v>
      </c>
      <c r="Y8" s="8" t="s">
        <v>34</v>
      </c>
      <c r="Z8" s="7" t="s">
        <v>46</v>
      </c>
      <c r="AA8" s="8" t="s">
        <v>47</v>
      </c>
      <c r="AB8" s="9">
        <f t="shared" si="0"/>
        <v>0.26185379999999997</v>
      </c>
    </row>
    <row r="9" spans="1:28" x14ac:dyDescent="0.35">
      <c r="A9" s="4">
        <v>4813</v>
      </c>
      <c r="B9" s="5" t="s">
        <v>32</v>
      </c>
      <c r="C9" s="6">
        <v>43609</v>
      </c>
      <c r="D9" s="7">
        <v>151</v>
      </c>
      <c r="E9" s="8" t="s">
        <v>48</v>
      </c>
      <c r="F9" s="7" t="s">
        <v>70</v>
      </c>
      <c r="G9" s="8" t="s">
        <v>71</v>
      </c>
      <c r="H9" s="7" t="str">
        <f>"000044"</f>
        <v>000044</v>
      </c>
      <c r="I9" s="6">
        <v>43034</v>
      </c>
      <c r="J9" s="7" t="str">
        <f>"000020"</f>
        <v>000020</v>
      </c>
      <c r="K9" s="6">
        <v>43034</v>
      </c>
      <c r="L9" s="7" t="str">
        <f>"000056"</f>
        <v>000056</v>
      </c>
      <c r="M9" s="6">
        <v>43036</v>
      </c>
      <c r="N9" s="7">
        <v>17</v>
      </c>
      <c r="O9" s="7" t="str">
        <f>"001984"</f>
        <v>001984</v>
      </c>
      <c r="P9" s="6">
        <v>43607</v>
      </c>
      <c r="Q9" s="9">
        <v>6.9220499999999996</v>
      </c>
      <c r="R9" s="9">
        <v>0.54146000000000005</v>
      </c>
      <c r="S9" s="9">
        <v>6.3805899999999998</v>
      </c>
      <c r="T9" s="7">
        <v>57</v>
      </c>
      <c r="U9" s="6">
        <v>43609</v>
      </c>
      <c r="V9" s="7">
        <v>8277644978</v>
      </c>
      <c r="W9" s="8" t="s">
        <v>72</v>
      </c>
      <c r="X9" s="7" t="s">
        <v>41</v>
      </c>
      <c r="Y9" s="8" t="s">
        <v>42</v>
      </c>
      <c r="Z9" s="7" t="s">
        <v>46</v>
      </c>
      <c r="AA9" s="8" t="s">
        <v>47</v>
      </c>
      <c r="AB9" s="9">
        <f t="shared" si="0"/>
        <v>6.922049999999999E-2</v>
      </c>
    </row>
    <row r="10" spans="1:28" x14ac:dyDescent="0.35">
      <c r="A10" s="4">
        <v>4814</v>
      </c>
      <c r="B10" s="5" t="s">
        <v>32</v>
      </c>
      <c r="C10" s="6">
        <v>43615</v>
      </c>
      <c r="D10" s="7">
        <v>151</v>
      </c>
      <c r="E10" s="8" t="s">
        <v>48</v>
      </c>
      <c r="F10" s="7" t="s">
        <v>73</v>
      </c>
      <c r="G10" s="8" t="s">
        <v>74</v>
      </c>
      <c r="H10" s="7" t="str">
        <f>"000071"</f>
        <v>000071</v>
      </c>
      <c r="I10" s="6">
        <v>42895</v>
      </c>
      <c r="J10" s="7" t="str">
        <f>"000028"</f>
        <v>000028</v>
      </c>
      <c r="K10" s="6">
        <v>43057</v>
      </c>
      <c r="L10" s="7" t="str">
        <f>"000065"</f>
        <v>000065</v>
      </c>
      <c r="M10" s="6">
        <v>43057</v>
      </c>
      <c r="N10" s="7">
        <v>17</v>
      </c>
      <c r="O10" s="7" t="str">
        <f>"002154"</f>
        <v>002154</v>
      </c>
      <c r="P10" s="6">
        <v>43613</v>
      </c>
      <c r="Q10" s="9">
        <v>15.50779</v>
      </c>
      <c r="R10" s="9">
        <v>1.5112099999999999</v>
      </c>
      <c r="S10" s="9">
        <v>13.99658</v>
      </c>
      <c r="T10" s="7">
        <v>65</v>
      </c>
      <c r="U10" s="6">
        <v>43615</v>
      </c>
      <c r="V10" s="7">
        <v>9916364289</v>
      </c>
      <c r="W10" s="8" t="s">
        <v>75</v>
      </c>
      <c r="X10" s="7" t="s">
        <v>30</v>
      </c>
      <c r="Y10" s="8" t="s">
        <v>31</v>
      </c>
      <c r="Z10" s="7" t="s">
        <v>46</v>
      </c>
      <c r="AA10" s="8" t="s">
        <v>47</v>
      </c>
      <c r="AB10" s="9">
        <f t="shared" si="0"/>
        <v>0.15507789999999999</v>
      </c>
    </row>
    <row r="11" spans="1:28" x14ac:dyDescent="0.35">
      <c r="A11" s="4">
        <v>4815</v>
      </c>
      <c r="B11" s="5" t="s">
        <v>29</v>
      </c>
      <c r="C11" s="6">
        <v>43633</v>
      </c>
      <c r="D11" s="7">
        <v>151</v>
      </c>
      <c r="E11" s="8" t="s">
        <v>48</v>
      </c>
      <c r="F11" s="7" t="s">
        <v>76</v>
      </c>
      <c r="G11" s="8" t="s">
        <v>77</v>
      </c>
      <c r="H11" s="7" t="str">
        <f>"000236"</f>
        <v>000236</v>
      </c>
      <c r="I11" s="6">
        <v>43353</v>
      </c>
      <c r="J11" s="7" t="str">
        <f>"000131"</f>
        <v>000131</v>
      </c>
      <c r="K11" s="6">
        <v>43496</v>
      </c>
      <c r="L11" s="7" t="str">
        <f>"000022"</f>
        <v>000022</v>
      </c>
      <c r="M11" s="6">
        <v>43585</v>
      </c>
      <c r="N11" s="7">
        <v>17</v>
      </c>
      <c r="O11" s="7" t="str">
        <f>"002694"</f>
        <v>002694</v>
      </c>
      <c r="P11" s="6">
        <v>43629</v>
      </c>
      <c r="Q11" s="9">
        <v>1.3111600000000001</v>
      </c>
      <c r="R11" s="9">
        <v>0.12648000000000001</v>
      </c>
      <c r="S11" s="9">
        <v>1.18468</v>
      </c>
      <c r="T11" s="7">
        <v>83</v>
      </c>
      <c r="U11" s="6">
        <v>43633</v>
      </c>
      <c r="V11" s="7">
        <v>7204636362</v>
      </c>
      <c r="W11" s="8" t="s">
        <v>78</v>
      </c>
      <c r="X11" s="7" t="s">
        <v>37</v>
      </c>
      <c r="Y11" s="8" t="s">
        <v>38</v>
      </c>
      <c r="Z11" s="7" t="s">
        <v>46</v>
      </c>
      <c r="AA11" s="8" t="s">
        <v>47</v>
      </c>
      <c r="AB11" s="9">
        <v>1.3111600000000001E-2</v>
      </c>
    </row>
    <row r="12" spans="1:28" x14ac:dyDescent="0.35">
      <c r="A12" s="4">
        <v>4816</v>
      </c>
      <c r="B12" s="5" t="s">
        <v>79</v>
      </c>
      <c r="C12" s="6">
        <v>43648</v>
      </c>
      <c r="D12" s="7">
        <v>151</v>
      </c>
      <c r="E12" s="8" t="s">
        <v>48</v>
      </c>
      <c r="F12" s="7" t="s">
        <v>61</v>
      </c>
      <c r="G12" s="10" t="s">
        <v>62</v>
      </c>
      <c r="H12" s="7" t="str">
        <f>"000036"</f>
        <v>000036</v>
      </c>
      <c r="I12" s="6">
        <v>42934</v>
      </c>
      <c r="J12" s="7" t="str">
        <f>"000189"</f>
        <v>000189</v>
      </c>
      <c r="K12" s="6">
        <v>43773</v>
      </c>
      <c r="L12" s="7" t="str">
        <f>"000188"</f>
        <v>000188</v>
      </c>
      <c r="M12" s="6">
        <v>43773</v>
      </c>
      <c r="N12" s="7">
        <v>16</v>
      </c>
      <c r="O12" s="7" t="str">
        <f>"006265"</f>
        <v>006265</v>
      </c>
      <c r="P12" s="6">
        <v>43787</v>
      </c>
      <c r="Q12" s="11">
        <v>4.7650899999999998</v>
      </c>
      <c r="R12" s="11">
        <v>0.37012</v>
      </c>
      <c r="S12" s="11">
        <v>4.3949699999999998</v>
      </c>
      <c r="T12" s="7">
        <v>102</v>
      </c>
      <c r="U12" s="6">
        <v>43648</v>
      </c>
      <c r="V12" s="7">
        <v>0</v>
      </c>
      <c r="W12" s="10" t="s">
        <v>63</v>
      </c>
      <c r="X12" s="7" t="s">
        <v>36</v>
      </c>
      <c r="Y12" s="10" t="s">
        <v>35</v>
      </c>
      <c r="Z12" s="7" t="s">
        <v>44</v>
      </c>
      <c r="AA12" s="10" t="s">
        <v>45</v>
      </c>
      <c r="AB12" s="11">
        <f t="shared" ref="AB12:AB32" si="1">Q12/100</f>
        <v>4.7650899999999996E-2</v>
      </c>
    </row>
    <row r="13" spans="1:28" x14ac:dyDescent="0.35">
      <c r="A13" s="4">
        <v>4817</v>
      </c>
      <c r="B13" s="5" t="s">
        <v>79</v>
      </c>
      <c r="C13" s="6">
        <v>43664</v>
      </c>
      <c r="D13" s="7">
        <v>151</v>
      </c>
      <c r="E13" s="8" t="s">
        <v>48</v>
      </c>
      <c r="F13" s="7" t="s">
        <v>61</v>
      </c>
      <c r="G13" s="10" t="s">
        <v>62</v>
      </c>
      <c r="H13" s="7" t="str">
        <f>"000036"</f>
        <v>000036</v>
      </c>
      <c r="I13" s="6">
        <v>42934</v>
      </c>
      <c r="J13" s="7" t="str">
        <f>"000189"</f>
        <v>000189</v>
      </c>
      <c r="K13" s="6">
        <v>43773</v>
      </c>
      <c r="L13" s="7" t="str">
        <f>"000188"</f>
        <v>000188</v>
      </c>
      <c r="M13" s="6">
        <v>43773</v>
      </c>
      <c r="N13" s="7">
        <v>16</v>
      </c>
      <c r="O13" s="7" t="str">
        <f>"006265"</f>
        <v>006265</v>
      </c>
      <c r="P13" s="6">
        <v>43787</v>
      </c>
      <c r="Q13" s="11">
        <v>4.6692400000000003</v>
      </c>
      <c r="R13" s="11">
        <v>0.37848999999999999</v>
      </c>
      <c r="S13" s="11">
        <v>4.2907500000000001</v>
      </c>
      <c r="T13" s="7">
        <v>115</v>
      </c>
      <c r="U13" s="6">
        <v>43664</v>
      </c>
      <c r="V13" s="7">
        <v>0</v>
      </c>
      <c r="W13" s="10" t="s">
        <v>63</v>
      </c>
      <c r="X13" s="7" t="s">
        <v>36</v>
      </c>
      <c r="Y13" s="10" t="s">
        <v>35</v>
      </c>
      <c r="Z13" s="7" t="s">
        <v>44</v>
      </c>
      <c r="AA13" s="10" t="s">
        <v>45</v>
      </c>
      <c r="AB13" s="11">
        <f t="shared" si="1"/>
        <v>4.6692400000000002E-2</v>
      </c>
    </row>
    <row r="14" spans="1:28" x14ac:dyDescent="0.35">
      <c r="A14" s="4">
        <v>4818</v>
      </c>
      <c r="B14" s="5" t="s">
        <v>79</v>
      </c>
      <c r="C14" s="6">
        <v>43668</v>
      </c>
      <c r="D14" s="7">
        <v>151</v>
      </c>
      <c r="E14" s="8" t="s">
        <v>48</v>
      </c>
      <c r="F14" s="7" t="s">
        <v>80</v>
      </c>
      <c r="G14" s="10" t="s">
        <v>81</v>
      </c>
      <c r="H14" s="7" t="str">
        <f>"000176"</f>
        <v>000176</v>
      </c>
      <c r="I14" s="6">
        <v>43292</v>
      </c>
      <c r="J14" s="7" t="str">
        <f>"000041"</f>
        <v>000041</v>
      </c>
      <c r="K14" s="6">
        <v>43293</v>
      </c>
      <c r="L14" s="7" t="str">
        <f>"000053"</f>
        <v>000053</v>
      </c>
      <c r="M14" s="6">
        <v>43616</v>
      </c>
      <c r="N14" s="7">
        <v>17</v>
      </c>
      <c r="O14" s="7" t="str">
        <f>"003391"</f>
        <v>003391</v>
      </c>
      <c r="P14" s="6">
        <v>43657</v>
      </c>
      <c r="Q14" s="11">
        <v>11.922090000000001</v>
      </c>
      <c r="R14" s="11">
        <v>1.15934</v>
      </c>
      <c r="S14" s="11">
        <v>10.76275</v>
      </c>
      <c r="T14" s="7">
        <v>119</v>
      </c>
      <c r="U14" s="6">
        <v>43668</v>
      </c>
      <c r="V14" s="7">
        <v>9902357755</v>
      </c>
      <c r="W14" s="10" t="s">
        <v>82</v>
      </c>
      <c r="X14" s="7" t="s">
        <v>37</v>
      </c>
      <c r="Y14" s="10" t="s">
        <v>38</v>
      </c>
      <c r="Z14" s="7" t="s">
        <v>46</v>
      </c>
      <c r="AA14" s="10" t="s">
        <v>47</v>
      </c>
      <c r="AB14" s="11">
        <f t="shared" si="1"/>
        <v>0.1192209</v>
      </c>
    </row>
    <row r="15" spans="1:28" x14ac:dyDescent="0.35">
      <c r="A15" s="4">
        <v>4819</v>
      </c>
      <c r="B15" s="5" t="s">
        <v>79</v>
      </c>
      <c r="C15" s="6">
        <v>43668</v>
      </c>
      <c r="D15" s="7">
        <v>151</v>
      </c>
      <c r="E15" s="8" t="s">
        <v>48</v>
      </c>
      <c r="F15" s="7" t="s">
        <v>83</v>
      </c>
      <c r="G15" s="10" t="s">
        <v>84</v>
      </c>
      <c r="H15" s="7" t="str">
        <f>"000388"</f>
        <v>000388</v>
      </c>
      <c r="I15" s="6">
        <v>43475</v>
      </c>
      <c r="J15" s="7" t="str">
        <f>"000005"</f>
        <v>000005</v>
      </c>
      <c r="K15" s="6">
        <v>43578</v>
      </c>
      <c r="L15" s="7" t="str">
        <f>"000040"</f>
        <v>000040</v>
      </c>
      <c r="M15" s="6">
        <v>43614</v>
      </c>
      <c r="N15" s="7">
        <v>18</v>
      </c>
      <c r="O15" s="7" t="str">
        <f>"003393"</f>
        <v>003393</v>
      </c>
      <c r="P15" s="6">
        <v>43657</v>
      </c>
      <c r="Q15" s="11">
        <v>4.0372199999999996</v>
      </c>
      <c r="R15" s="11">
        <v>0.36871999999999999</v>
      </c>
      <c r="S15" s="11">
        <v>3.6684999999999999</v>
      </c>
      <c r="T15" s="7">
        <v>119</v>
      </c>
      <c r="U15" s="6">
        <v>43668</v>
      </c>
      <c r="V15" s="7">
        <v>9448592779</v>
      </c>
      <c r="W15" s="10" t="s">
        <v>85</v>
      </c>
      <c r="X15" s="7" t="s">
        <v>86</v>
      </c>
      <c r="Y15" s="10" t="s">
        <v>87</v>
      </c>
      <c r="Z15" s="7" t="s">
        <v>46</v>
      </c>
      <c r="AA15" s="10" t="s">
        <v>47</v>
      </c>
      <c r="AB15" s="11">
        <f t="shared" si="1"/>
        <v>4.0372199999999997E-2</v>
      </c>
    </row>
    <row r="16" spans="1:28" x14ac:dyDescent="0.35">
      <c r="A16" s="4">
        <v>4820</v>
      </c>
      <c r="B16" s="5" t="s">
        <v>79</v>
      </c>
      <c r="C16" s="6">
        <v>43668</v>
      </c>
      <c r="D16" s="7">
        <v>151</v>
      </c>
      <c r="E16" s="8" t="s">
        <v>48</v>
      </c>
      <c r="F16" s="7" t="s">
        <v>88</v>
      </c>
      <c r="G16" s="10" t="s">
        <v>89</v>
      </c>
      <c r="H16" s="7" t="str">
        <f>"000366"</f>
        <v>000366</v>
      </c>
      <c r="I16" s="6">
        <v>43465</v>
      </c>
      <c r="J16" s="7" t="str">
        <f>"000002"</f>
        <v>000002</v>
      </c>
      <c r="K16" s="6">
        <v>43578</v>
      </c>
      <c r="L16" s="7" t="str">
        <f>"000054"</f>
        <v>000054</v>
      </c>
      <c r="M16" s="6">
        <v>43617</v>
      </c>
      <c r="N16" s="7">
        <v>18</v>
      </c>
      <c r="O16" s="7" t="str">
        <f>"003399"</f>
        <v>003399</v>
      </c>
      <c r="P16" s="6">
        <v>43657</v>
      </c>
      <c r="Q16" s="11">
        <v>60.064410000000002</v>
      </c>
      <c r="R16" s="11">
        <v>2.8139699999999999</v>
      </c>
      <c r="S16" s="11">
        <v>57.250439999999998</v>
      </c>
      <c r="T16" s="7">
        <v>119</v>
      </c>
      <c r="U16" s="6">
        <v>43668</v>
      </c>
      <c r="V16" s="7">
        <v>8095570820</v>
      </c>
      <c r="W16" s="10" t="s">
        <v>90</v>
      </c>
      <c r="X16" s="7" t="s">
        <v>91</v>
      </c>
      <c r="Y16" s="10" t="s">
        <v>92</v>
      </c>
      <c r="Z16" s="7" t="s">
        <v>46</v>
      </c>
      <c r="AA16" s="10" t="s">
        <v>47</v>
      </c>
      <c r="AB16" s="11">
        <f t="shared" si="1"/>
        <v>0.60064410000000001</v>
      </c>
    </row>
    <row r="17" spans="1:28" x14ac:dyDescent="0.35">
      <c r="A17" s="4">
        <v>4821</v>
      </c>
      <c r="B17" s="5" t="s">
        <v>79</v>
      </c>
      <c r="C17" s="6">
        <v>43668</v>
      </c>
      <c r="D17" s="7">
        <v>151</v>
      </c>
      <c r="E17" s="8" t="s">
        <v>48</v>
      </c>
      <c r="F17" s="7" t="s">
        <v>93</v>
      </c>
      <c r="G17" s="10" t="s">
        <v>94</v>
      </c>
      <c r="H17" s="7" t="str">
        <f>"000428"</f>
        <v>000428</v>
      </c>
      <c r="I17" s="6">
        <v>43504</v>
      </c>
      <c r="J17" s="7" t="str">
        <f>"000007"</f>
        <v>000007</v>
      </c>
      <c r="K17" s="6">
        <v>43582</v>
      </c>
      <c r="L17" s="7" t="str">
        <f>"000024"</f>
        <v>000024</v>
      </c>
      <c r="M17" s="6">
        <v>43589</v>
      </c>
      <c r="N17" s="7">
        <v>18</v>
      </c>
      <c r="O17" s="7" t="str">
        <f>"003700"</f>
        <v>003700</v>
      </c>
      <c r="P17" s="6">
        <v>43664</v>
      </c>
      <c r="Q17" s="11">
        <v>5.0359400000000001</v>
      </c>
      <c r="R17" s="11">
        <v>0.49745</v>
      </c>
      <c r="S17" s="11">
        <v>4.5384900000000004</v>
      </c>
      <c r="T17" s="7">
        <v>119</v>
      </c>
      <c r="U17" s="6">
        <v>43668</v>
      </c>
      <c r="V17" s="7">
        <v>0</v>
      </c>
      <c r="W17" s="10" t="s">
        <v>95</v>
      </c>
      <c r="X17" s="7" t="s">
        <v>96</v>
      </c>
      <c r="Y17" s="10" t="s">
        <v>97</v>
      </c>
      <c r="Z17" s="7" t="s">
        <v>46</v>
      </c>
      <c r="AA17" s="10" t="s">
        <v>47</v>
      </c>
      <c r="AB17" s="11">
        <f t="shared" si="1"/>
        <v>5.0359399999999999E-2</v>
      </c>
    </row>
    <row r="18" spans="1:28" x14ac:dyDescent="0.35">
      <c r="A18" s="4">
        <v>4822</v>
      </c>
      <c r="B18" s="5" t="s">
        <v>79</v>
      </c>
      <c r="C18" s="6">
        <v>43668</v>
      </c>
      <c r="D18" s="7">
        <v>151</v>
      </c>
      <c r="E18" s="8" t="s">
        <v>48</v>
      </c>
      <c r="F18" s="7" t="s">
        <v>98</v>
      </c>
      <c r="G18" s="10" t="s">
        <v>99</v>
      </c>
      <c r="H18" s="7" t="str">
        <f>"000373"</f>
        <v>000373</v>
      </c>
      <c r="I18" s="6">
        <v>43468</v>
      </c>
      <c r="J18" s="7" t="str">
        <f>"000003"</f>
        <v>000003</v>
      </c>
      <c r="K18" s="6">
        <v>43578</v>
      </c>
      <c r="L18" s="7" t="str">
        <f>"000055"</f>
        <v>000055</v>
      </c>
      <c r="M18" s="6">
        <v>43617</v>
      </c>
      <c r="N18" s="7">
        <v>18</v>
      </c>
      <c r="O18" s="7" t="str">
        <f>"003707"</f>
        <v>003707</v>
      </c>
      <c r="P18" s="6">
        <v>43664</v>
      </c>
      <c r="Q18" s="11">
        <v>9.3852799999999998</v>
      </c>
      <c r="R18" s="11">
        <v>0.45466000000000001</v>
      </c>
      <c r="S18" s="11">
        <v>8.9306199999999993</v>
      </c>
      <c r="T18" s="7">
        <v>119</v>
      </c>
      <c r="U18" s="6">
        <v>43668</v>
      </c>
      <c r="V18" s="7">
        <v>9482712997</v>
      </c>
      <c r="W18" s="10" t="s">
        <v>100</v>
      </c>
      <c r="X18" s="7" t="s">
        <v>101</v>
      </c>
      <c r="Y18" s="10" t="s">
        <v>102</v>
      </c>
      <c r="Z18" s="7" t="s">
        <v>46</v>
      </c>
      <c r="AA18" s="10" t="s">
        <v>47</v>
      </c>
      <c r="AB18" s="11">
        <f t="shared" si="1"/>
        <v>9.38528E-2</v>
      </c>
    </row>
    <row r="19" spans="1:28" x14ac:dyDescent="0.35">
      <c r="A19" s="4">
        <v>4823</v>
      </c>
      <c r="B19" s="5" t="s">
        <v>79</v>
      </c>
      <c r="C19" s="6">
        <v>43668</v>
      </c>
      <c r="D19" s="7">
        <v>151</v>
      </c>
      <c r="E19" s="8" t="s">
        <v>48</v>
      </c>
      <c r="F19" s="7" t="s">
        <v>103</v>
      </c>
      <c r="G19" s="10" t="s">
        <v>104</v>
      </c>
      <c r="H19" s="7" t="str">
        <f>"000340"</f>
        <v>000340</v>
      </c>
      <c r="I19" s="6">
        <v>43447</v>
      </c>
      <c r="J19" s="7" t="str">
        <f>"000012"</f>
        <v>000012</v>
      </c>
      <c r="K19" s="6">
        <v>43598</v>
      </c>
      <c r="L19" s="7" t="str">
        <f>"000050"</f>
        <v>000050</v>
      </c>
      <c r="M19" s="6">
        <v>43616</v>
      </c>
      <c r="N19" s="7">
        <v>18</v>
      </c>
      <c r="O19" s="7" t="str">
        <f>"003734"</f>
        <v>003734</v>
      </c>
      <c r="P19" s="6">
        <v>43664</v>
      </c>
      <c r="Q19" s="11">
        <v>19.618960000000001</v>
      </c>
      <c r="R19" s="11">
        <v>0.95228999999999997</v>
      </c>
      <c r="S19" s="11">
        <v>18.66667</v>
      </c>
      <c r="T19" s="7">
        <v>119</v>
      </c>
      <c r="U19" s="6">
        <v>43668</v>
      </c>
      <c r="V19" s="7">
        <v>8095570820</v>
      </c>
      <c r="W19" s="10" t="s">
        <v>105</v>
      </c>
      <c r="X19" s="7" t="s">
        <v>91</v>
      </c>
      <c r="Y19" s="10" t="s">
        <v>92</v>
      </c>
      <c r="Z19" s="7" t="s">
        <v>46</v>
      </c>
      <c r="AA19" s="10" t="s">
        <v>47</v>
      </c>
      <c r="AB19" s="11">
        <f t="shared" si="1"/>
        <v>0.19618960000000002</v>
      </c>
    </row>
    <row r="20" spans="1:28" x14ac:dyDescent="0.35">
      <c r="A20" s="4">
        <v>4824</v>
      </c>
      <c r="B20" s="5" t="s">
        <v>79</v>
      </c>
      <c r="C20" s="6">
        <v>43669</v>
      </c>
      <c r="D20" s="7">
        <v>151</v>
      </c>
      <c r="E20" s="8" t="s">
        <v>48</v>
      </c>
      <c r="F20" s="7" t="s">
        <v>106</v>
      </c>
      <c r="G20" s="10" t="s">
        <v>107</v>
      </c>
      <c r="H20" s="7" t="str">
        <f>"000083"</f>
        <v>000083</v>
      </c>
      <c r="I20" s="6">
        <v>43062</v>
      </c>
      <c r="J20" s="7" t="str">
        <f>"000069"</f>
        <v>000069</v>
      </c>
      <c r="K20" s="6">
        <v>43151</v>
      </c>
      <c r="L20" s="7" t="str">
        <f>"000148"</f>
        <v>000148</v>
      </c>
      <c r="M20" s="6">
        <v>43152</v>
      </c>
      <c r="N20" s="7">
        <v>17</v>
      </c>
      <c r="O20" s="7" t="str">
        <f>"003698"</f>
        <v>003698</v>
      </c>
      <c r="P20" s="6">
        <v>43664</v>
      </c>
      <c r="Q20" s="11">
        <v>39.569119999999998</v>
      </c>
      <c r="R20" s="11">
        <v>3.9007700000000001</v>
      </c>
      <c r="S20" s="11">
        <v>35.668349999999997</v>
      </c>
      <c r="T20" s="7">
        <v>122</v>
      </c>
      <c r="U20" s="6">
        <v>43669</v>
      </c>
      <c r="V20" s="7">
        <v>9901698462</v>
      </c>
      <c r="W20" s="10" t="s">
        <v>108</v>
      </c>
      <c r="X20" s="7" t="s">
        <v>30</v>
      </c>
      <c r="Y20" s="10" t="s">
        <v>31</v>
      </c>
      <c r="Z20" s="7" t="s">
        <v>46</v>
      </c>
      <c r="AA20" s="10" t="s">
        <v>47</v>
      </c>
      <c r="AB20" s="11">
        <f t="shared" si="1"/>
        <v>0.39569119999999997</v>
      </c>
    </row>
    <row r="21" spans="1:28" x14ac:dyDescent="0.35">
      <c r="A21" s="4">
        <v>4825</v>
      </c>
      <c r="B21" s="5" t="s">
        <v>79</v>
      </c>
      <c r="C21" s="6">
        <v>43669</v>
      </c>
      <c r="D21" s="7">
        <v>151</v>
      </c>
      <c r="E21" s="8" t="s">
        <v>48</v>
      </c>
      <c r="F21" s="7" t="s">
        <v>109</v>
      </c>
      <c r="G21" s="10" t="s">
        <v>110</v>
      </c>
      <c r="H21" s="7" t="str">
        <f>"000077"</f>
        <v>000077</v>
      </c>
      <c r="I21" s="6">
        <v>43062</v>
      </c>
      <c r="J21" s="7" t="str">
        <f>"000068"</f>
        <v>000068</v>
      </c>
      <c r="K21" s="6">
        <v>43151</v>
      </c>
      <c r="L21" s="7" t="str">
        <f>"000149"</f>
        <v>000149</v>
      </c>
      <c r="M21" s="6">
        <v>43152</v>
      </c>
      <c r="N21" s="7">
        <v>17</v>
      </c>
      <c r="O21" s="7" t="str">
        <f>"003701"</f>
        <v>003701</v>
      </c>
      <c r="P21" s="6">
        <v>43664</v>
      </c>
      <c r="Q21" s="11">
        <v>39.355890000000002</v>
      </c>
      <c r="R21" s="11">
        <v>3.78139</v>
      </c>
      <c r="S21" s="11">
        <v>35.5745</v>
      </c>
      <c r="T21" s="7">
        <v>122</v>
      </c>
      <c r="U21" s="6">
        <v>43669</v>
      </c>
      <c r="V21" s="7">
        <v>9901698462</v>
      </c>
      <c r="W21" s="10" t="s">
        <v>111</v>
      </c>
      <c r="X21" s="7" t="s">
        <v>30</v>
      </c>
      <c r="Y21" s="10" t="s">
        <v>31</v>
      </c>
      <c r="Z21" s="7" t="s">
        <v>46</v>
      </c>
      <c r="AA21" s="10" t="s">
        <v>47</v>
      </c>
      <c r="AB21" s="11">
        <f t="shared" si="1"/>
        <v>0.39355890000000004</v>
      </c>
    </row>
    <row r="22" spans="1:28" x14ac:dyDescent="0.35">
      <c r="A22" s="4">
        <v>4826</v>
      </c>
      <c r="B22" s="5" t="s">
        <v>79</v>
      </c>
      <c r="C22" s="6">
        <v>43669</v>
      </c>
      <c r="D22" s="7">
        <v>151</v>
      </c>
      <c r="E22" s="8" t="s">
        <v>48</v>
      </c>
      <c r="F22" s="7" t="s">
        <v>112</v>
      </c>
      <c r="G22" s="10" t="s">
        <v>113</v>
      </c>
      <c r="H22" s="7" t="str">
        <f>"000147"</f>
        <v>000147</v>
      </c>
      <c r="I22" s="6">
        <v>43143</v>
      </c>
      <c r="J22" s="7" t="str">
        <f>"000067"</f>
        <v>000067</v>
      </c>
      <c r="K22" s="6">
        <v>43143</v>
      </c>
      <c r="L22" s="7" t="str">
        <f>"000140"</f>
        <v>000140</v>
      </c>
      <c r="M22" s="6">
        <v>43150</v>
      </c>
      <c r="N22" s="7">
        <v>16</v>
      </c>
      <c r="O22" s="7" t="str">
        <f>"003729"</f>
        <v>003729</v>
      </c>
      <c r="P22" s="6">
        <v>43664</v>
      </c>
      <c r="Q22" s="11">
        <v>71.263580000000005</v>
      </c>
      <c r="R22" s="11">
        <v>5.6915500000000003</v>
      </c>
      <c r="S22" s="11">
        <v>65.572029999999998</v>
      </c>
      <c r="T22" s="7">
        <v>122</v>
      </c>
      <c r="U22" s="6">
        <v>43669</v>
      </c>
      <c r="V22" s="7">
        <v>9739005888</v>
      </c>
      <c r="W22" s="10" t="s">
        <v>43</v>
      </c>
      <c r="X22" s="7" t="s">
        <v>41</v>
      </c>
      <c r="Y22" s="10" t="s">
        <v>42</v>
      </c>
      <c r="Z22" s="7" t="s">
        <v>46</v>
      </c>
      <c r="AA22" s="10" t="s">
        <v>47</v>
      </c>
      <c r="AB22" s="11">
        <f t="shared" si="1"/>
        <v>0.71263580000000004</v>
      </c>
    </row>
    <row r="23" spans="1:28" x14ac:dyDescent="0.35">
      <c r="A23" s="4">
        <v>4827</v>
      </c>
      <c r="B23" s="5" t="s">
        <v>79</v>
      </c>
      <c r="C23" s="6">
        <v>43671</v>
      </c>
      <c r="D23" s="7">
        <v>151</v>
      </c>
      <c r="E23" s="8" t="s">
        <v>48</v>
      </c>
      <c r="F23" s="7" t="s">
        <v>114</v>
      </c>
      <c r="G23" s="10" t="s">
        <v>115</v>
      </c>
      <c r="H23" s="7" t="str">
        <f>"000140"</f>
        <v>000140</v>
      </c>
      <c r="I23" s="6">
        <v>43133</v>
      </c>
      <c r="J23" s="7" t="str">
        <f>"000059"</f>
        <v>000059</v>
      </c>
      <c r="K23" s="6">
        <v>43138</v>
      </c>
      <c r="L23" s="7" t="str">
        <f>"000142"</f>
        <v>000142</v>
      </c>
      <c r="M23" s="6">
        <v>43150</v>
      </c>
      <c r="N23" s="7">
        <v>17</v>
      </c>
      <c r="O23" s="7" t="str">
        <f>"003888"</f>
        <v>003888</v>
      </c>
      <c r="P23" s="6">
        <v>43669</v>
      </c>
      <c r="Q23" s="11">
        <v>4.8730000000000002</v>
      </c>
      <c r="R23" s="11">
        <v>0.60343999999999998</v>
      </c>
      <c r="S23" s="11">
        <v>4.2695600000000002</v>
      </c>
      <c r="T23" s="7">
        <v>125</v>
      </c>
      <c r="U23" s="6">
        <v>43671</v>
      </c>
      <c r="V23" s="7">
        <v>9980866367</v>
      </c>
      <c r="W23" s="10" t="s">
        <v>116</v>
      </c>
      <c r="X23" s="7" t="s">
        <v>30</v>
      </c>
      <c r="Y23" s="10" t="s">
        <v>31</v>
      </c>
      <c r="Z23" s="7" t="s">
        <v>46</v>
      </c>
      <c r="AA23" s="10" t="s">
        <v>47</v>
      </c>
      <c r="AB23" s="11">
        <f t="shared" si="1"/>
        <v>4.8730000000000002E-2</v>
      </c>
    </row>
    <row r="24" spans="1:28" x14ac:dyDescent="0.35">
      <c r="A24" s="4">
        <v>4828</v>
      </c>
      <c r="B24" s="5" t="s">
        <v>117</v>
      </c>
      <c r="C24" s="6">
        <v>43693</v>
      </c>
      <c r="D24" s="7">
        <v>151</v>
      </c>
      <c r="E24" s="8" t="s">
        <v>48</v>
      </c>
      <c r="F24" s="7" t="s">
        <v>118</v>
      </c>
      <c r="G24" s="10" t="s">
        <v>119</v>
      </c>
      <c r="H24" s="7" t="str">
        <f>"000321"</f>
        <v>000321</v>
      </c>
      <c r="I24" s="6">
        <v>43434</v>
      </c>
      <c r="J24" s="7" t="str">
        <f>"000030"</f>
        <v>000030</v>
      </c>
      <c r="K24" s="6">
        <v>43650</v>
      </c>
      <c r="L24" s="7" t="str">
        <f>"000069"</f>
        <v>000069</v>
      </c>
      <c r="M24" s="6">
        <v>43656</v>
      </c>
      <c r="N24" s="7">
        <v>18</v>
      </c>
      <c r="O24" s="7" t="str">
        <f>"004357"</f>
        <v>004357</v>
      </c>
      <c r="P24" s="6">
        <v>43684</v>
      </c>
      <c r="Q24" s="11">
        <v>25.840769999999999</v>
      </c>
      <c r="R24" s="11">
        <v>1.5365800000000001</v>
      </c>
      <c r="S24" s="11">
        <v>24.304189999999998</v>
      </c>
      <c r="T24" s="7">
        <v>155</v>
      </c>
      <c r="U24" s="6">
        <v>43693</v>
      </c>
      <c r="V24" s="7">
        <v>9448090581</v>
      </c>
      <c r="W24" s="10" t="s">
        <v>120</v>
      </c>
      <c r="X24" s="7" t="s">
        <v>91</v>
      </c>
      <c r="Y24" s="10" t="s">
        <v>92</v>
      </c>
      <c r="Z24" s="7" t="s">
        <v>46</v>
      </c>
      <c r="AA24" s="10" t="s">
        <v>47</v>
      </c>
      <c r="AB24" s="11">
        <f t="shared" si="1"/>
        <v>0.25840770000000002</v>
      </c>
    </row>
    <row r="25" spans="1:28" x14ac:dyDescent="0.35">
      <c r="A25" s="4">
        <v>4829</v>
      </c>
      <c r="B25" s="5" t="s">
        <v>117</v>
      </c>
      <c r="C25" s="6">
        <v>43696</v>
      </c>
      <c r="D25" s="7">
        <v>151</v>
      </c>
      <c r="E25" s="8" t="s">
        <v>48</v>
      </c>
      <c r="F25" s="7" t="s">
        <v>121</v>
      </c>
      <c r="G25" s="10" t="s">
        <v>122</v>
      </c>
      <c r="H25" s="7" t="str">
        <f>"000188"</f>
        <v>000188</v>
      </c>
      <c r="I25" s="6">
        <v>43183</v>
      </c>
      <c r="J25" s="7" t="str">
        <f>"000085"</f>
        <v>000085</v>
      </c>
      <c r="K25" s="6">
        <v>43186</v>
      </c>
      <c r="L25" s="7" t="str">
        <f>"000181"</f>
        <v>000181</v>
      </c>
      <c r="M25" s="6">
        <v>43189</v>
      </c>
      <c r="N25" s="7">
        <v>17</v>
      </c>
      <c r="O25" s="7" t="str">
        <f>"004496"</f>
        <v>004496</v>
      </c>
      <c r="P25" s="6">
        <v>43691</v>
      </c>
      <c r="Q25" s="11">
        <v>37.407319999999999</v>
      </c>
      <c r="R25" s="11">
        <v>3.5040399999999998</v>
      </c>
      <c r="S25" s="11">
        <v>33.903280000000002</v>
      </c>
      <c r="T25" s="7">
        <v>158</v>
      </c>
      <c r="U25" s="6">
        <v>43696</v>
      </c>
      <c r="V25" s="7">
        <v>9845089899</v>
      </c>
      <c r="W25" s="10" t="s">
        <v>123</v>
      </c>
      <c r="X25" s="7" t="s">
        <v>41</v>
      </c>
      <c r="Y25" s="10" t="s">
        <v>42</v>
      </c>
      <c r="Z25" s="7" t="s">
        <v>46</v>
      </c>
      <c r="AA25" s="10" t="s">
        <v>47</v>
      </c>
      <c r="AB25" s="11">
        <f t="shared" si="1"/>
        <v>0.37407319999999999</v>
      </c>
    </row>
    <row r="26" spans="1:28" x14ac:dyDescent="0.35">
      <c r="A26" s="4">
        <v>4830</v>
      </c>
      <c r="B26" s="5" t="s">
        <v>117</v>
      </c>
      <c r="C26" s="6">
        <v>43697</v>
      </c>
      <c r="D26" s="7">
        <v>151</v>
      </c>
      <c r="E26" s="8" t="s">
        <v>48</v>
      </c>
      <c r="F26" s="7" t="s">
        <v>124</v>
      </c>
      <c r="G26" s="10" t="s">
        <v>125</v>
      </c>
      <c r="H26" s="7" t="str">
        <f>"000037"</f>
        <v>000037</v>
      </c>
      <c r="I26" s="6">
        <v>41894</v>
      </c>
      <c r="J26" s="7" t="str">
        <f>"000076"</f>
        <v>000076</v>
      </c>
      <c r="K26" s="6">
        <v>41969</v>
      </c>
      <c r="L26" s="7" t="str">
        <f>"276"</f>
        <v>276</v>
      </c>
      <c r="M26" s="7">
        <v>14</v>
      </c>
      <c r="N26" s="7">
        <v>11</v>
      </c>
      <c r="O26" s="7" t="str">
        <f>"003360"</f>
        <v>003360</v>
      </c>
      <c r="P26" s="6">
        <v>42275</v>
      </c>
      <c r="Q26" s="11">
        <v>39.836869999999998</v>
      </c>
      <c r="R26" s="11">
        <v>2.0316399999999999</v>
      </c>
      <c r="S26" s="11">
        <v>37.805230000000002</v>
      </c>
      <c r="T26" s="7">
        <v>160</v>
      </c>
      <c r="U26" s="6">
        <v>43697</v>
      </c>
      <c r="V26" s="7">
        <v>9686660565</v>
      </c>
      <c r="W26" s="10" t="s">
        <v>126</v>
      </c>
      <c r="X26" s="7" t="s">
        <v>127</v>
      </c>
      <c r="Y26" s="10" t="s">
        <v>128</v>
      </c>
      <c r="Z26" s="7" t="s">
        <v>129</v>
      </c>
      <c r="AA26" s="10" t="s">
        <v>130</v>
      </c>
      <c r="AB26" s="11">
        <f t="shared" si="1"/>
        <v>0.39836869999999996</v>
      </c>
    </row>
    <row r="27" spans="1:28" x14ac:dyDescent="0.35">
      <c r="A27" s="4">
        <v>4831</v>
      </c>
      <c r="B27" s="5" t="s">
        <v>131</v>
      </c>
      <c r="C27" s="6">
        <v>43726</v>
      </c>
      <c r="D27" s="7">
        <v>151</v>
      </c>
      <c r="E27" s="8" t="s">
        <v>48</v>
      </c>
      <c r="F27" s="7" t="s">
        <v>132</v>
      </c>
      <c r="G27" s="10" t="s">
        <v>133</v>
      </c>
      <c r="H27" s="7" t="str">
        <f>"000526"</f>
        <v>000526</v>
      </c>
      <c r="I27" s="6">
        <v>43533</v>
      </c>
      <c r="J27" s="7" t="str">
        <f>"000044"</f>
        <v>000044</v>
      </c>
      <c r="K27" s="6">
        <v>43691</v>
      </c>
      <c r="L27" s="7" t="str">
        <f>"000101"</f>
        <v>000101</v>
      </c>
      <c r="M27" s="6">
        <v>43693</v>
      </c>
      <c r="N27" s="7">
        <v>19</v>
      </c>
      <c r="O27" s="7" t="str">
        <f>"005166"</f>
        <v>005166</v>
      </c>
      <c r="P27" s="6">
        <v>43726</v>
      </c>
      <c r="Q27" s="11">
        <v>19.668869999999998</v>
      </c>
      <c r="R27" s="11">
        <v>0.68127000000000004</v>
      </c>
      <c r="S27" s="11">
        <v>18.9876</v>
      </c>
      <c r="T27" s="7">
        <v>192</v>
      </c>
      <c r="U27" s="6">
        <v>43726</v>
      </c>
      <c r="V27" s="7">
        <v>9845135453</v>
      </c>
      <c r="W27" s="10" t="s">
        <v>134</v>
      </c>
      <c r="X27" s="7" t="s">
        <v>91</v>
      </c>
      <c r="Y27" s="10" t="s">
        <v>92</v>
      </c>
      <c r="Z27" s="7" t="s">
        <v>46</v>
      </c>
      <c r="AA27" s="10" t="s">
        <v>47</v>
      </c>
      <c r="AB27" s="11">
        <f t="shared" si="1"/>
        <v>0.19668869999999999</v>
      </c>
    </row>
    <row r="28" spans="1:28" x14ac:dyDescent="0.35">
      <c r="A28" s="4">
        <v>4832</v>
      </c>
      <c r="B28" s="5" t="s">
        <v>131</v>
      </c>
      <c r="C28" s="6">
        <v>43726</v>
      </c>
      <c r="D28" s="7">
        <v>151</v>
      </c>
      <c r="E28" s="8" t="s">
        <v>48</v>
      </c>
      <c r="F28" s="7" t="s">
        <v>135</v>
      </c>
      <c r="G28" s="10" t="s">
        <v>136</v>
      </c>
      <c r="H28" s="7" t="str">
        <f>"000062"</f>
        <v>000062</v>
      </c>
      <c r="I28" s="6">
        <v>43647</v>
      </c>
      <c r="J28" s="7" t="str">
        <f>"000146"</f>
        <v>000146</v>
      </c>
      <c r="K28" s="6">
        <v>43694</v>
      </c>
      <c r="L28" s="7" t="str">
        <f>"000146"</f>
        <v>000146</v>
      </c>
      <c r="M28" s="6">
        <v>43694</v>
      </c>
      <c r="N28" s="7">
        <v>19</v>
      </c>
      <c r="O28" s="7" t="str">
        <f>"005168"</f>
        <v>005168</v>
      </c>
      <c r="P28" s="6">
        <v>43726</v>
      </c>
      <c r="Q28" s="11">
        <v>12.14875</v>
      </c>
      <c r="R28" s="11">
        <v>0.59353999999999996</v>
      </c>
      <c r="S28" s="11">
        <v>11.555210000000001</v>
      </c>
      <c r="T28" s="7">
        <v>192</v>
      </c>
      <c r="U28" s="6">
        <v>43726</v>
      </c>
      <c r="V28" s="7">
        <v>0</v>
      </c>
      <c r="W28" s="10" t="s">
        <v>137</v>
      </c>
      <c r="X28" s="7" t="s">
        <v>138</v>
      </c>
      <c r="Y28" s="10" t="s">
        <v>139</v>
      </c>
      <c r="Z28" s="7" t="s">
        <v>44</v>
      </c>
      <c r="AA28" s="10" t="s">
        <v>45</v>
      </c>
      <c r="AB28" s="11">
        <f t="shared" si="1"/>
        <v>0.1214875</v>
      </c>
    </row>
    <row r="29" spans="1:28" x14ac:dyDescent="0.35">
      <c r="A29" s="4">
        <v>4833</v>
      </c>
      <c r="B29" s="5" t="s">
        <v>131</v>
      </c>
      <c r="C29" s="6">
        <v>43727</v>
      </c>
      <c r="D29" s="7">
        <v>151</v>
      </c>
      <c r="E29" s="8" t="s">
        <v>48</v>
      </c>
      <c r="F29" s="7" t="s">
        <v>140</v>
      </c>
      <c r="G29" s="10" t="s">
        <v>141</v>
      </c>
      <c r="H29" s="7" t="str">
        <f>"000357"</f>
        <v>000357</v>
      </c>
      <c r="I29" s="6">
        <v>43461</v>
      </c>
      <c r="J29" s="7" t="str">
        <f>"000027"</f>
        <v>000027</v>
      </c>
      <c r="K29" s="6">
        <v>43644</v>
      </c>
      <c r="L29" s="7" t="str">
        <f>"000071"</f>
        <v>000071</v>
      </c>
      <c r="M29" s="6">
        <v>43658</v>
      </c>
      <c r="N29" s="7">
        <v>19</v>
      </c>
      <c r="O29" s="7" t="str">
        <f>"004607"</f>
        <v>004607</v>
      </c>
      <c r="P29" s="6">
        <v>43694</v>
      </c>
      <c r="Q29" s="11">
        <v>19.764859999999999</v>
      </c>
      <c r="R29" s="11">
        <v>2.3030499999999998</v>
      </c>
      <c r="S29" s="11">
        <v>17.46181</v>
      </c>
      <c r="T29" s="7">
        <v>193</v>
      </c>
      <c r="U29" s="6">
        <v>43727</v>
      </c>
      <c r="V29" s="7">
        <v>9739005888</v>
      </c>
      <c r="W29" s="10" t="s">
        <v>43</v>
      </c>
      <c r="X29" s="7" t="s">
        <v>142</v>
      </c>
      <c r="Y29" s="10" t="s">
        <v>143</v>
      </c>
      <c r="Z29" s="7" t="s">
        <v>46</v>
      </c>
      <c r="AA29" s="10" t="s">
        <v>47</v>
      </c>
      <c r="AB29" s="11">
        <f t="shared" si="1"/>
        <v>0.19764859999999998</v>
      </c>
    </row>
    <row r="30" spans="1:28" x14ac:dyDescent="0.35">
      <c r="A30" s="4">
        <v>4834</v>
      </c>
      <c r="B30" s="5" t="s">
        <v>131</v>
      </c>
      <c r="C30" s="6">
        <v>43727</v>
      </c>
      <c r="D30" s="7">
        <v>151</v>
      </c>
      <c r="E30" s="8" t="s">
        <v>48</v>
      </c>
      <c r="F30" s="7" t="s">
        <v>144</v>
      </c>
      <c r="G30" s="10" t="s">
        <v>145</v>
      </c>
      <c r="H30" s="7" t="str">
        <f>"000358"</f>
        <v>000358</v>
      </c>
      <c r="I30" s="6">
        <v>43461</v>
      </c>
      <c r="J30" s="7" t="str">
        <f>"000028"</f>
        <v>000028</v>
      </c>
      <c r="K30" s="6">
        <v>43644</v>
      </c>
      <c r="L30" s="7" t="str">
        <f>"000070"</f>
        <v>000070</v>
      </c>
      <c r="M30" s="6">
        <v>43658</v>
      </c>
      <c r="N30" s="7">
        <v>19</v>
      </c>
      <c r="O30" s="7" t="str">
        <f>"004608"</f>
        <v>004608</v>
      </c>
      <c r="P30" s="6">
        <v>43694</v>
      </c>
      <c r="Q30" s="11">
        <v>19.64847</v>
      </c>
      <c r="R30" s="11">
        <v>2.29582</v>
      </c>
      <c r="S30" s="11">
        <v>17.352650000000001</v>
      </c>
      <c r="T30" s="7">
        <v>193</v>
      </c>
      <c r="U30" s="6">
        <v>43727</v>
      </c>
      <c r="V30" s="7">
        <v>9739005888</v>
      </c>
      <c r="W30" s="10" t="s">
        <v>146</v>
      </c>
      <c r="X30" s="7" t="s">
        <v>142</v>
      </c>
      <c r="Y30" s="10" t="s">
        <v>143</v>
      </c>
      <c r="Z30" s="7" t="s">
        <v>46</v>
      </c>
      <c r="AA30" s="10" t="s">
        <v>47</v>
      </c>
      <c r="AB30" s="11">
        <f t="shared" si="1"/>
        <v>0.19648469999999998</v>
      </c>
    </row>
    <row r="31" spans="1:28" x14ac:dyDescent="0.35">
      <c r="A31" s="4">
        <v>4835</v>
      </c>
      <c r="B31" s="5" t="s">
        <v>131</v>
      </c>
      <c r="C31" s="6">
        <v>43727</v>
      </c>
      <c r="D31" s="7">
        <v>151</v>
      </c>
      <c r="E31" s="8" t="s">
        <v>48</v>
      </c>
      <c r="F31" s="7" t="s">
        <v>147</v>
      </c>
      <c r="G31" s="10" t="s">
        <v>148</v>
      </c>
      <c r="H31" s="7" t="str">
        <f>"000359"</f>
        <v>000359</v>
      </c>
      <c r="I31" s="6">
        <v>43461</v>
      </c>
      <c r="J31" s="7" t="str">
        <f>"000026"</f>
        <v>000026</v>
      </c>
      <c r="K31" s="6">
        <v>43644</v>
      </c>
      <c r="L31" s="7" t="str">
        <f>"000073"</f>
        <v>000073</v>
      </c>
      <c r="M31" s="6">
        <v>43658</v>
      </c>
      <c r="N31" s="7">
        <v>19</v>
      </c>
      <c r="O31" s="7" t="str">
        <f>"004609"</f>
        <v>004609</v>
      </c>
      <c r="P31" s="6">
        <v>43694</v>
      </c>
      <c r="Q31" s="11">
        <v>19.06908</v>
      </c>
      <c r="R31" s="11">
        <v>2.3504900000000002</v>
      </c>
      <c r="S31" s="11">
        <v>16.718589999999999</v>
      </c>
      <c r="T31" s="7">
        <v>193</v>
      </c>
      <c r="U31" s="6">
        <v>43727</v>
      </c>
      <c r="V31" s="7">
        <v>9739005888</v>
      </c>
      <c r="W31" s="10" t="s">
        <v>43</v>
      </c>
      <c r="X31" s="7" t="s">
        <v>142</v>
      </c>
      <c r="Y31" s="10" t="s">
        <v>143</v>
      </c>
      <c r="Z31" s="7" t="s">
        <v>46</v>
      </c>
      <c r="AA31" s="10" t="s">
        <v>47</v>
      </c>
      <c r="AB31" s="11">
        <f t="shared" si="1"/>
        <v>0.19069079999999999</v>
      </c>
    </row>
    <row r="32" spans="1:28" x14ac:dyDescent="0.35">
      <c r="A32" s="4">
        <v>4836</v>
      </c>
      <c r="B32" s="5" t="s">
        <v>131</v>
      </c>
      <c r="C32" s="6">
        <v>43727</v>
      </c>
      <c r="D32" s="7">
        <v>151</v>
      </c>
      <c r="E32" s="8" t="s">
        <v>48</v>
      </c>
      <c r="F32" s="7" t="s">
        <v>149</v>
      </c>
      <c r="G32" s="10" t="s">
        <v>150</v>
      </c>
      <c r="H32" s="7" t="str">
        <f>"000356"</f>
        <v>000356</v>
      </c>
      <c r="I32" s="6">
        <v>43461</v>
      </c>
      <c r="J32" s="7" t="str">
        <f>"000025"</f>
        <v>000025</v>
      </c>
      <c r="K32" s="6">
        <v>43644</v>
      </c>
      <c r="L32" s="7" t="str">
        <f>"000072"</f>
        <v>000072</v>
      </c>
      <c r="M32" s="6">
        <v>43658</v>
      </c>
      <c r="N32" s="7">
        <v>19</v>
      </c>
      <c r="O32" s="7" t="str">
        <f>"004611"</f>
        <v>004611</v>
      </c>
      <c r="P32" s="6">
        <v>43694</v>
      </c>
      <c r="Q32" s="11">
        <v>19.683910000000001</v>
      </c>
      <c r="R32" s="11">
        <v>2.22417</v>
      </c>
      <c r="S32" s="11">
        <v>17.45974</v>
      </c>
      <c r="T32" s="7">
        <v>193</v>
      </c>
      <c r="U32" s="6">
        <v>43727</v>
      </c>
      <c r="V32" s="7">
        <v>9739005888</v>
      </c>
      <c r="W32" s="10" t="s">
        <v>43</v>
      </c>
      <c r="X32" s="7" t="s">
        <v>142</v>
      </c>
      <c r="Y32" s="10" t="s">
        <v>143</v>
      </c>
      <c r="Z32" s="7" t="s">
        <v>46</v>
      </c>
      <c r="AA32" s="10" t="s">
        <v>47</v>
      </c>
      <c r="AB32" s="11">
        <f t="shared" si="1"/>
        <v>0.19683910000000002</v>
      </c>
    </row>
    <row r="33" spans="1:28" x14ac:dyDescent="0.35">
      <c r="A33" s="4">
        <v>4837</v>
      </c>
      <c r="B33" s="5" t="s">
        <v>151</v>
      </c>
      <c r="C33" s="6">
        <v>43749</v>
      </c>
      <c r="D33" s="4">
        <v>151</v>
      </c>
      <c r="E33" s="8" t="s">
        <v>48</v>
      </c>
      <c r="F33" s="7" t="s">
        <v>73</v>
      </c>
      <c r="G33" s="8" t="s">
        <v>74</v>
      </c>
      <c r="H33" s="7" t="str">
        <f>"000071"</f>
        <v>000071</v>
      </c>
      <c r="I33" s="6">
        <v>42895</v>
      </c>
      <c r="J33" s="7" t="str">
        <f>"000018"</f>
        <v>000018</v>
      </c>
      <c r="K33" s="6">
        <v>43215</v>
      </c>
      <c r="L33" s="7" t="str">
        <f>"000039"</f>
        <v>000039</v>
      </c>
      <c r="M33" s="6">
        <v>43218</v>
      </c>
      <c r="N33" s="7">
        <v>17</v>
      </c>
      <c r="O33" s="7" t="str">
        <f>"005490"</f>
        <v>005490</v>
      </c>
      <c r="P33" s="6">
        <v>43739</v>
      </c>
      <c r="Q33" s="9">
        <v>4.14663</v>
      </c>
      <c r="R33" s="9">
        <v>0.38735000000000003</v>
      </c>
      <c r="S33" s="9">
        <v>3.75928</v>
      </c>
      <c r="T33" s="7">
        <v>13</v>
      </c>
      <c r="U33" s="6">
        <v>43749</v>
      </c>
      <c r="V33" s="7">
        <v>9916364289</v>
      </c>
      <c r="W33" s="8" t="s">
        <v>75</v>
      </c>
      <c r="X33" s="7" t="s">
        <v>30</v>
      </c>
      <c r="Y33" s="8" t="s">
        <v>31</v>
      </c>
      <c r="Z33" s="7" t="s">
        <v>46</v>
      </c>
      <c r="AA33" s="8" t="s">
        <v>47</v>
      </c>
      <c r="AB33" s="9">
        <v>4.1466299999999998E-2</v>
      </c>
    </row>
    <row r="34" spans="1:28" x14ac:dyDescent="0.35">
      <c r="A34" s="4">
        <v>4838</v>
      </c>
      <c r="B34" s="5" t="s">
        <v>151</v>
      </c>
      <c r="C34" s="6">
        <v>43749</v>
      </c>
      <c r="D34" s="4">
        <v>151</v>
      </c>
      <c r="E34" s="8" t="s">
        <v>48</v>
      </c>
      <c r="F34" s="7" t="s">
        <v>152</v>
      </c>
      <c r="G34" s="8" t="s">
        <v>153</v>
      </c>
      <c r="H34" s="7" t="str">
        <f>"000003"</f>
        <v>000003</v>
      </c>
      <c r="I34" s="6">
        <v>43193</v>
      </c>
      <c r="J34" s="7" t="str">
        <f>"000012"</f>
        <v>000012</v>
      </c>
      <c r="K34" s="6">
        <v>43197</v>
      </c>
      <c r="L34" s="7" t="str">
        <f>"000016"</f>
        <v>000016</v>
      </c>
      <c r="M34" s="6">
        <v>43201</v>
      </c>
      <c r="N34" s="7">
        <v>18</v>
      </c>
      <c r="O34" s="7" t="str">
        <f>"008088"</f>
        <v>008088</v>
      </c>
      <c r="P34" s="6">
        <v>43452</v>
      </c>
      <c r="Q34" s="9">
        <v>131.95911000000001</v>
      </c>
      <c r="R34" s="9">
        <v>5.6851700000000003</v>
      </c>
      <c r="S34" s="9">
        <v>126.27394</v>
      </c>
      <c r="T34" s="7">
        <v>13</v>
      </c>
      <c r="U34" s="6">
        <v>43749</v>
      </c>
      <c r="V34" s="7">
        <v>9880285856</v>
      </c>
      <c r="W34" s="8" t="s">
        <v>154</v>
      </c>
      <c r="X34" s="7" t="s">
        <v>155</v>
      </c>
      <c r="Y34" s="8" t="s">
        <v>156</v>
      </c>
      <c r="Z34" s="7" t="s">
        <v>46</v>
      </c>
      <c r="AA34" s="8" t="s">
        <v>47</v>
      </c>
      <c r="AB34" s="9">
        <v>1.3195911</v>
      </c>
    </row>
    <row r="35" spans="1:28" x14ac:dyDescent="0.35">
      <c r="A35" s="4">
        <v>4839</v>
      </c>
      <c r="B35" s="5" t="s">
        <v>151</v>
      </c>
      <c r="C35" s="6">
        <v>43752</v>
      </c>
      <c r="D35" s="4">
        <v>151</v>
      </c>
      <c r="E35" s="8" t="s">
        <v>48</v>
      </c>
      <c r="F35" s="7" t="s">
        <v>157</v>
      </c>
      <c r="G35" s="8" t="s">
        <v>158</v>
      </c>
      <c r="H35" s="7" t="str">
        <f>"000372"</f>
        <v>000372</v>
      </c>
      <c r="I35" s="6">
        <v>43468</v>
      </c>
      <c r="J35" s="7" t="str">
        <f>"000051"</f>
        <v>000051</v>
      </c>
      <c r="K35" s="6">
        <v>43698</v>
      </c>
      <c r="L35" s="7" t="str">
        <f>"000124"</f>
        <v>000124</v>
      </c>
      <c r="M35" s="6">
        <v>43708</v>
      </c>
      <c r="N35" s="7">
        <v>18</v>
      </c>
      <c r="O35" s="7" t="str">
        <f>"005464"</f>
        <v>005464</v>
      </c>
      <c r="P35" s="6">
        <v>43739</v>
      </c>
      <c r="Q35" s="9">
        <v>34.978299999999997</v>
      </c>
      <c r="R35" s="9">
        <v>3.5070999999999999</v>
      </c>
      <c r="S35" s="9">
        <v>31.4712</v>
      </c>
      <c r="T35" s="7">
        <v>13</v>
      </c>
      <c r="U35" s="6">
        <v>43752</v>
      </c>
      <c r="V35" s="7">
        <v>9448059182</v>
      </c>
      <c r="W35" s="8" t="s">
        <v>159</v>
      </c>
      <c r="X35" s="7" t="s">
        <v>96</v>
      </c>
      <c r="Y35" s="8" t="s">
        <v>97</v>
      </c>
      <c r="Z35" s="7" t="s">
        <v>46</v>
      </c>
      <c r="AA35" s="8" t="s">
        <v>47</v>
      </c>
      <c r="AB35" s="9">
        <v>0.34978299999999996</v>
      </c>
    </row>
    <row r="36" spans="1:28" x14ac:dyDescent="0.35">
      <c r="A36" s="4">
        <v>4840</v>
      </c>
      <c r="B36" s="5" t="s">
        <v>151</v>
      </c>
      <c r="C36" s="6">
        <v>43752</v>
      </c>
      <c r="D36" s="4">
        <v>151</v>
      </c>
      <c r="E36" s="8" t="s">
        <v>48</v>
      </c>
      <c r="F36" s="7" t="s">
        <v>160</v>
      </c>
      <c r="G36" s="8" t="s">
        <v>161</v>
      </c>
      <c r="H36" s="7" t="str">
        <f>"000406"</f>
        <v>000406</v>
      </c>
      <c r="I36" s="6">
        <v>43482</v>
      </c>
      <c r="J36" s="7" t="str">
        <f>"000035"</f>
        <v>000035</v>
      </c>
      <c r="K36" s="6">
        <v>43661</v>
      </c>
      <c r="L36" s="7" t="str">
        <f>"000081"</f>
        <v>000081</v>
      </c>
      <c r="M36" s="6">
        <v>43671</v>
      </c>
      <c r="N36" s="7">
        <v>18</v>
      </c>
      <c r="O36" s="7" t="str">
        <f>"005710"</f>
        <v>005710</v>
      </c>
      <c r="P36" s="6">
        <v>43748</v>
      </c>
      <c r="Q36" s="9">
        <v>14.162000000000001</v>
      </c>
      <c r="R36" s="9">
        <v>0.55027999999999999</v>
      </c>
      <c r="S36" s="9">
        <v>13.61172</v>
      </c>
      <c r="T36" s="7">
        <v>13</v>
      </c>
      <c r="U36" s="6">
        <v>43752</v>
      </c>
      <c r="V36" s="7">
        <v>9901698462</v>
      </c>
      <c r="W36" s="8" t="s">
        <v>162</v>
      </c>
      <c r="X36" s="7" t="s">
        <v>33</v>
      </c>
      <c r="Y36" s="8" t="s">
        <v>34</v>
      </c>
      <c r="Z36" s="7" t="s">
        <v>46</v>
      </c>
      <c r="AA36" s="8" t="s">
        <v>47</v>
      </c>
      <c r="AB36" s="9">
        <v>0.14162</v>
      </c>
    </row>
    <row r="37" spans="1:28" x14ac:dyDescent="0.35">
      <c r="A37" s="4">
        <v>4841</v>
      </c>
      <c r="B37" s="5" t="s">
        <v>151</v>
      </c>
      <c r="C37" s="6">
        <v>43768</v>
      </c>
      <c r="D37" s="4">
        <v>151</v>
      </c>
      <c r="E37" s="8" t="s">
        <v>48</v>
      </c>
      <c r="F37" s="7" t="s">
        <v>163</v>
      </c>
      <c r="G37" s="8" t="s">
        <v>164</v>
      </c>
      <c r="H37" s="7" t="str">
        <f>"000289"</f>
        <v>000289</v>
      </c>
      <c r="I37" s="6">
        <v>43413</v>
      </c>
      <c r="J37" s="7" t="str">
        <f>"000056"</f>
        <v>000056</v>
      </c>
      <c r="K37" s="6">
        <v>43717</v>
      </c>
      <c r="L37" s="7" t="str">
        <f>"000127"</f>
        <v>000127</v>
      </c>
      <c r="M37" s="6">
        <v>43732</v>
      </c>
      <c r="N37" s="7">
        <v>18</v>
      </c>
      <c r="O37" s="7" t="str">
        <f>"005966"</f>
        <v>005966</v>
      </c>
      <c r="P37" s="6">
        <v>43763</v>
      </c>
      <c r="Q37" s="9">
        <v>12.01947</v>
      </c>
      <c r="R37" s="9">
        <v>0.71145000000000003</v>
      </c>
      <c r="S37" s="9">
        <v>11.308020000000001</v>
      </c>
      <c r="T37" s="7">
        <v>13</v>
      </c>
      <c r="U37" s="6">
        <v>43768</v>
      </c>
      <c r="V37" s="7">
        <v>8277644978</v>
      </c>
      <c r="W37" s="8" t="s">
        <v>165</v>
      </c>
      <c r="X37" s="7" t="s">
        <v>91</v>
      </c>
      <c r="Y37" s="8" t="s">
        <v>92</v>
      </c>
      <c r="Z37" s="7" t="s">
        <v>46</v>
      </c>
      <c r="AA37" s="8" t="s">
        <v>47</v>
      </c>
      <c r="AB37" s="9">
        <v>0.1201947</v>
      </c>
    </row>
    <row r="38" spans="1:28" x14ac:dyDescent="0.35">
      <c r="A38" s="4">
        <v>4842</v>
      </c>
      <c r="B38" s="5" t="s">
        <v>166</v>
      </c>
      <c r="C38" s="6">
        <v>43789</v>
      </c>
      <c r="D38" s="4">
        <v>151</v>
      </c>
      <c r="E38" s="8" t="s">
        <v>48</v>
      </c>
      <c r="F38" s="7" t="s">
        <v>61</v>
      </c>
      <c r="G38" s="8" t="s">
        <v>62</v>
      </c>
      <c r="H38" s="7" t="str">
        <f>"000036"</f>
        <v>000036</v>
      </c>
      <c r="I38" s="6">
        <v>42934</v>
      </c>
      <c r="J38" s="7" t="str">
        <f>"000189"</f>
        <v>000189</v>
      </c>
      <c r="K38" s="6">
        <v>43773</v>
      </c>
      <c r="L38" s="7" t="str">
        <f>"000188"</f>
        <v>000188</v>
      </c>
      <c r="M38" s="6">
        <v>43773</v>
      </c>
      <c r="N38" s="7">
        <v>16</v>
      </c>
      <c r="O38" s="7" t="str">
        <f>"006265"</f>
        <v>006265</v>
      </c>
      <c r="P38" s="6">
        <v>43787</v>
      </c>
      <c r="Q38" s="9">
        <v>4.6692400000000003</v>
      </c>
      <c r="R38" s="9">
        <v>0.37848999999999999</v>
      </c>
      <c r="S38" s="9">
        <v>4.2907500000000001</v>
      </c>
      <c r="T38" s="7">
        <v>13</v>
      </c>
      <c r="U38" s="6">
        <v>43789</v>
      </c>
      <c r="V38" s="7">
        <v>0</v>
      </c>
      <c r="W38" s="8" t="s">
        <v>63</v>
      </c>
      <c r="X38" s="7" t="s">
        <v>36</v>
      </c>
      <c r="Y38" s="8" t="s">
        <v>35</v>
      </c>
      <c r="Z38" s="7" t="s">
        <v>44</v>
      </c>
      <c r="AA38" s="8" t="s">
        <v>45</v>
      </c>
      <c r="AB38" s="9">
        <v>4.6692400000000002E-2</v>
      </c>
    </row>
    <row r="39" spans="1:28" x14ac:dyDescent="0.35">
      <c r="A39" s="4">
        <v>4843</v>
      </c>
      <c r="B39" s="5" t="s">
        <v>166</v>
      </c>
      <c r="C39" s="6">
        <v>43798</v>
      </c>
      <c r="D39" s="4">
        <v>151</v>
      </c>
      <c r="E39" s="8" t="s">
        <v>48</v>
      </c>
      <c r="F39" s="7" t="s">
        <v>167</v>
      </c>
      <c r="G39" s="8" t="s">
        <v>168</v>
      </c>
      <c r="H39" s="7" t="str">
        <f>"000031"</f>
        <v>000031</v>
      </c>
      <c r="I39" s="6">
        <v>43662</v>
      </c>
      <c r="J39" s="7" t="str">
        <f>"000088"</f>
        <v>000088</v>
      </c>
      <c r="K39" s="6">
        <v>43761</v>
      </c>
      <c r="L39" s="7" t="str">
        <f>"000088"</f>
        <v>000088</v>
      </c>
      <c r="M39" s="6">
        <v>43761</v>
      </c>
      <c r="N39" s="7">
        <v>18</v>
      </c>
      <c r="O39" s="7" t="str">
        <f>"006319"</f>
        <v>006319</v>
      </c>
      <c r="P39" s="6">
        <v>43791</v>
      </c>
      <c r="Q39" s="9">
        <v>24.795030000000001</v>
      </c>
      <c r="R39" s="9">
        <v>2.82315</v>
      </c>
      <c r="S39" s="9">
        <v>21.971879999999999</v>
      </c>
      <c r="T39" s="7">
        <v>13</v>
      </c>
      <c r="U39" s="6">
        <v>43798</v>
      </c>
      <c r="V39" s="7">
        <v>9448440264</v>
      </c>
      <c r="W39" s="8" t="s">
        <v>169</v>
      </c>
      <c r="X39" s="7" t="s">
        <v>39</v>
      </c>
      <c r="Y39" s="8" t="s">
        <v>40</v>
      </c>
      <c r="Z39" s="7" t="s">
        <v>170</v>
      </c>
      <c r="AA39" s="8" t="s">
        <v>171</v>
      </c>
      <c r="AB39" s="9">
        <v>0.24795030000000001</v>
      </c>
    </row>
    <row r="40" spans="1:28" x14ac:dyDescent="0.35">
      <c r="A40" s="4">
        <v>4844</v>
      </c>
      <c r="B40" s="5" t="s">
        <v>172</v>
      </c>
      <c r="C40" s="6">
        <v>43823</v>
      </c>
      <c r="D40" s="4">
        <v>151</v>
      </c>
      <c r="E40" s="8" t="s">
        <v>48</v>
      </c>
      <c r="F40" s="7" t="s">
        <v>173</v>
      </c>
      <c r="G40" s="8" t="s">
        <v>174</v>
      </c>
      <c r="H40" s="7" t="str">
        <f>"000154"</f>
        <v>000154</v>
      </c>
      <c r="I40" s="6">
        <v>43227</v>
      </c>
      <c r="J40" s="7" t="str">
        <f>"000026"</f>
        <v>000026</v>
      </c>
      <c r="K40" s="6">
        <v>43227</v>
      </c>
      <c r="L40" s="7" t="str">
        <f>"000054"</f>
        <v>000054</v>
      </c>
      <c r="M40" s="6">
        <v>43241</v>
      </c>
      <c r="N40" s="7">
        <v>16</v>
      </c>
      <c r="O40" s="7" t="str">
        <f>"006785"</f>
        <v>006785</v>
      </c>
      <c r="P40" s="6">
        <v>43811</v>
      </c>
      <c r="Q40" s="9">
        <v>51.45767</v>
      </c>
      <c r="R40" s="9">
        <v>3.90699</v>
      </c>
      <c r="S40" s="9">
        <v>47.55068</v>
      </c>
      <c r="T40" s="7">
        <v>13</v>
      </c>
      <c r="U40" s="6">
        <v>43823</v>
      </c>
      <c r="V40" s="7">
        <v>9739005888</v>
      </c>
      <c r="W40" s="8" t="s">
        <v>43</v>
      </c>
      <c r="X40" s="7" t="s">
        <v>41</v>
      </c>
      <c r="Y40" s="8" t="s">
        <v>42</v>
      </c>
      <c r="Z40" s="7" t="s">
        <v>46</v>
      </c>
      <c r="AA40" s="8" t="s">
        <v>47</v>
      </c>
      <c r="AB40" s="9">
        <v>0.5145767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Manjunath HL</dc:creator>
  <cp:lastModifiedBy>Manjunath HL</cp:lastModifiedBy>
  <dcterms:created xsi:type="dcterms:W3CDTF">2019-07-02T06:05:12Z</dcterms:created>
  <dcterms:modified xsi:type="dcterms:W3CDTF">2020-01-30T06:57:06Z</dcterms:modified>
</cp:coreProperties>
</file>